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undep\Balanços\"/>
    </mc:Choice>
  </mc:AlternateContent>
  <bookViews>
    <workbookView xWindow="240" yWindow="60" windowWidth="11360" windowHeight="5900" activeTab="1"/>
  </bookViews>
  <sheets>
    <sheet name="Ativo" sheetId="1" r:id="rId1"/>
    <sheet name="Passivo" sheetId="2" r:id="rId2"/>
    <sheet name="DRE" sheetId="3" r:id="rId3"/>
    <sheet name="DMPS" sheetId="4" state="hidden" r:id="rId4"/>
    <sheet name="DMPS Acertado" sheetId="16" r:id="rId5"/>
    <sheet name="DVA" sheetId="10" r:id="rId6"/>
    <sheet name="DFC.10" sheetId="12" r:id="rId7"/>
    <sheet name="DFC09 (2)" sheetId="14" state="hidden" r:id="rId8"/>
    <sheet name="DOAR" sheetId="15" r:id="rId9"/>
  </sheets>
  <externalReferences>
    <externalReference r:id="rId10"/>
  </externalReferences>
  <definedNames>
    <definedName name="_xlnm.Print_Area" localSheetId="0">Ativo!$A$1:$J$57</definedName>
    <definedName name="_xlnm.Print_Area" localSheetId="6">DFC.10!$A$1:$I$55</definedName>
    <definedName name="_xlnm.Print_Area" localSheetId="8">DOAR!$A$1:$K$51</definedName>
    <definedName name="_xlnm.Print_Area" localSheetId="1">Passivo!$A$1:$K$57</definedName>
  </definedNames>
  <calcPr calcId="162913"/>
</workbook>
</file>

<file path=xl/calcChain.xml><?xml version="1.0" encoding="utf-8"?>
<calcChain xmlns="http://schemas.openxmlformats.org/spreadsheetml/2006/main">
  <c r="H17" i="15" l="1"/>
  <c r="I37" i="12"/>
  <c r="B91" i="16"/>
  <c r="H91" i="16" s="1"/>
  <c r="H24" i="2"/>
  <c r="H30" i="2"/>
  <c r="H31" i="2"/>
  <c r="H29" i="1"/>
  <c r="L29" i="1" s="1"/>
  <c r="H90" i="16"/>
  <c r="H86" i="16"/>
  <c r="H89" i="16"/>
  <c r="G89" i="16"/>
  <c r="H88" i="16"/>
  <c r="H87" i="16"/>
  <c r="H85" i="16"/>
  <c r="H84" i="16"/>
  <c r="G82" i="16"/>
  <c r="H82" i="16" s="1"/>
  <c r="G81" i="16"/>
  <c r="H81" i="16"/>
  <c r="G80" i="16"/>
  <c r="H80" i="16" s="1"/>
  <c r="F79" i="16"/>
  <c r="H79" i="16" s="1"/>
  <c r="E79" i="16"/>
  <c r="H78" i="16"/>
  <c r="H77" i="16"/>
  <c r="E76" i="16"/>
  <c r="E83" i="16"/>
  <c r="E92" i="16"/>
  <c r="G74" i="16"/>
  <c r="H74" i="16"/>
  <c r="G73" i="16"/>
  <c r="H73" i="16" s="1"/>
  <c r="H72" i="16"/>
  <c r="H71" i="16"/>
  <c r="H70" i="16"/>
  <c r="H69" i="16"/>
  <c r="E68" i="16"/>
  <c r="D68" i="16"/>
  <c r="D76" i="16"/>
  <c r="H67" i="16"/>
  <c r="G66" i="16"/>
  <c r="G65" i="16"/>
  <c r="H64" i="16"/>
  <c r="H63" i="16"/>
  <c r="H62" i="16"/>
  <c r="H61" i="16"/>
  <c r="G60" i="16"/>
  <c r="F60" i="16"/>
  <c r="F68" i="16" s="1"/>
  <c r="E60" i="16"/>
  <c r="D60" i="16"/>
  <c r="H60" i="16" s="1"/>
  <c r="B60" i="16"/>
  <c r="B68" i="16"/>
  <c r="H59" i="16"/>
  <c r="H58" i="16"/>
  <c r="H57" i="16"/>
  <c r="H56" i="16"/>
  <c r="H55" i="16"/>
  <c r="H54" i="16"/>
  <c r="C53" i="16"/>
  <c r="H51" i="16"/>
  <c r="H50" i="16"/>
  <c r="H49" i="16"/>
  <c r="H48" i="16"/>
  <c r="H45" i="16"/>
  <c r="H44" i="16"/>
  <c r="H43" i="16"/>
  <c r="H42" i="16"/>
  <c r="G40" i="16"/>
  <c r="H39" i="16"/>
  <c r="H38" i="16"/>
  <c r="H34" i="16"/>
  <c r="H33" i="16"/>
  <c r="C32" i="16"/>
  <c r="C41" i="16"/>
  <c r="C47" i="16" s="1"/>
  <c r="H31" i="16"/>
  <c r="H30" i="16"/>
  <c r="H29" i="16"/>
  <c r="E28" i="16"/>
  <c r="H28" i="16"/>
  <c r="H27" i="16"/>
  <c r="H26" i="16"/>
  <c r="F26" i="16"/>
  <c r="F32" i="16" s="1"/>
  <c r="F41" i="16" s="1"/>
  <c r="F47" i="16" s="1"/>
  <c r="H25" i="16"/>
  <c r="H24" i="16"/>
  <c r="H23" i="16"/>
  <c r="G22" i="16"/>
  <c r="B22" i="16"/>
  <c r="H22" i="16" s="1"/>
  <c r="H21" i="16"/>
  <c r="G20" i="16"/>
  <c r="G32" i="16" s="1"/>
  <c r="G41" i="16" s="1"/>
  <c r="G47" i="16" s="1"/>
  <c r="F20" i="16"/>
  <c r="D20" i="16"/>
  <c r="D32" i="16" s="1"/>
  <c r="D41" i="16" s="1"/>
  <c r="D47" i="16" s="1"/>
  <c r="B20" i="16"/>
  <c r="B32" i="16"/>
  <c r="B41" i="16" s="1"/>
  <c r="E19" i="16"/>
  <c r="E20" i="16" s="1"/>
  <c r="E32" i="16" s="1"/>
  <c r="E41" i="16" s="1"/>
  <c r="E47" i="16" s="1"/>
  <c r="H18" i="16"/>
  <c r="H17" i="16"/>
  <c r="H16" i="16"/>
  <c r="H14" i="16"/>
  <c r="H13" i="16"/>
  <c r="H12" i="16"/>
  <c r="H10" i="16"/>
  <c r="I12" i="12"/>
  <c r="J21" i="15"/>
  <c r="J19" i="15"/>
  <c r="H21" i="15"/>
  <c r="H19" i="15" s="1"/>
  <c r="H9" i="15" s="1"/>
  <c r="I40" i="12"/>
  <c r="H28" i="15"/>
  <c r="I38" i="12"/>
  <c r="H27" i="15"/>
  <c r="I39" i="12"/>
  <c r="L22" i="1"/>
  <c r="H10" i="15"/>
  <c r="J10" i="15"/>
  <c r="J9" i="15" s="1"/>
  <c r="H24" i="15"/>
  <c r="H44" i="15"/>
  <c r="H40" i="15"/>
  <c r="J44" i="15"/>
  <c r="J40" i="15"/>
  <c r="J24" i="15"/>
  <c r="H88" i="4"/>
  <c r="G80" i="4"/>
  <c r="G83" i="4"/>
  <c r="G91" i="4" s="1"/>
  <c r="M10" i="12"/>
  <c r="O10" i="12"/>
  <c r="L23" i="1"/>
  <c r="L24" i="1"/>
  <c r="L14" i="1"/>
  <c r="I18" i="12" s="1"/>
  <c r="L15" i="1"/>
  <c r="I19" i="12" s="1"/>
  <c r="L16" i="1"/>
  <c r="L21" i="2"/>
  <c r="L22" i="2"/>
  <c r="L28" i="1"/>
  <c r="L27" i="1"/>
  <c r="L33" i="1"/>
  <c r="L34" i="1"/>
  <c r="L35" i="1"/>
  <c r="L46" i="1"/>
  <c r="L47" i="1"/>
  <c r="L45" i="1"/>
  <c r="L37" i="1"/>
  <c r="L38" i="1"/>
  <c r="L39" i="1"/>
  <c r="L40" i="1"/>
  <c r="L41" i="1"/>
  <c r="L42" i="1"/>
  <c r="L21" i="1"/>
  <c r="M27" i="1"/>
  <c r="M28" i="1"/>
  <c r="M30" i="1"/>
  <c r="M31" i="1"/>
  <c r="M33" i="1"/>
  <c r="M34" i="1"/>
  <c r="M35" i="1"/>
  <c r="M36" i="1"/>
  <c r="M37" i="1"/>
  <c r="M38" i="1"/>
  <c r="M39" i="1"/>
  <c r="M40" i="1"/>
  <c r="M41" i="1"/>
  <c r="M42" i="1"/>
  <c r="M43" i="1"/>
  <c r="M45" i="1"/>
  <c r="M46" i="1"/>
  <c r="M47" i="1"/>
  <c r="M48" i="1"/>
  <c r="L20" i="2"/>
  <c r="I29" i="12" s="1"/>
  <c r="L17" i="2"/>
  <c r="L19" i="2"/>
  <c r="L26" i="1"/>
  <c r="L32" i="1"/>
  <c r="L26" i="2"/>
  <c r="L14" i="2"/>
  <c r="I28" i="12"/>
  <c r="L16" i="2"/>
  <c r="I30" i="12"/>
  <c r="L44" i="1"/>
  <c r="L36" i="1"/>
  <c r="L48" i="1"/>
  <c r="L30" i="1"/>
  <c r="L11" i="2"/>
  <c r="L12" i="2"/>
  <c r="I26" i="12" s="1"/>
  <c r="I22" i="12"/>
  <c r="L11" i="1"/>
  <c r="I20" i="12"/>
  <c r="I17" i="12"/>
  <c r="L13" i="1"/>
  <c r="I51" i="12"/>
  <c r="I53" i="12"/>
  <c r="J32" i="10"/>
  <c r="J45" i="10"/>
  <c r="J18" i="10"/>
  <c r="H90" i="4"/>
  <c r="G88" i="4"/>
  <c r="H87" i="4"/>
  <c r="H85" i="4"/>
  <c r="H84" i="4"/>
  <c r="H86" i="4"/>
  <c r="H13" i="2"/>
  <c r="L13" i="2" s="1"/>
  <c r="I27" i="12" s="1"/>
  <c r="H44" i="1"/>
  <c r="H20" i="1"/>
  <c r="K32" i="3"/>
  <c r="K20" i="3"/>
  <c r="K12" i="3"/>
  <c r="K9" i="3"/>
  <c r="K27" i="3" s="1"/>
  <c r="K34" i="3" s="1"/>
  <c r="J25" i="2"/>
  <c r="L25" i="2" s="1"/>
  <c r="J18" i="2"/>
  <c r="L18" i="2" s="1"/>
  <c r="J10" i="2"/>
  <c r="J44" i="1"/>
  <c r="M44" i="1" s="1"/>
  <c r="J32" i="1"/>
  <c r="J26" i="1"/>
  <c r="J20" i="1"/>
  <c r="L20" i="1"/>
  <c r="J18" i="1"/>
  <c r="J10" i="1"/>
  <c r="J50" i="1" s="1"/>
  <c r="H78" i="4"/>
  <c r="H77" i="4"/>
  <c r="G82" i="4"/>
  <c r="H82" i="4" s="1"/>
  <c r="G81" i="4"/>
  <c r="J44" i="10"/>
  <c r="J43" i="10"/>
  <c r="J42" i="10"/>
  <c r="J24" i="10"/>
  <c r="J22" i="10" s="1"/>
  <c r="J23" i="10"/>
  <c r="J10" i="10"/>
  <c r="J9" i="10"/>
  <c r="F79" i="4"/>
  <c r="E79" i="4"/>
  <c r="H10" i="1"/>
  <c r="H10" i="2"/>
  <c r="I52" i="14"/>
  <c r="I50" i="14"/>
  <c r="I34" i="14"/>
  <c r="I43" i="14" s="1"/>
  <c r="I47" i="14" s="1"/>
  <c r="H70" i="4"/>
  <c r="H69" i="4"/>
  <c r="H32" i="1"/>
  <c r="M32" i="1" s="1"/>
  <c r="G73" i="4"/>
  <c r="H73" i="4"/>
  <c r="H72" i="4"/>
  <c r="H71" i="4"/>
  <c r="J35" i="10"/>
  <c r="J30" i="10"/>
  <c r="J17" i="10"/>
  <c r="J13" i="10"/>
  <c r="H10" i="4"/>
  <c r="H12" i="4"/>
  <c r="H13" i="4"/>
  <c r="H14" i="4"/>
  <c r="H16" i="4"/>
  <c r="H17" i="4"/>
  <c r="H20" i="4" s="1"/>
  <c r="H18" i="4"/>
  <c r="E19" i="4"/>
  <c r="H19" i="4"/>
  <c r="B20" i="4"/>
  <c r="D20" i="4"/>
  <c r="E20" i="4"/>
  <c r="F20" i="4"/>
  <c r="G20" i="4"/>
  <c r="G32" i="4" s="1"/>
  <c r="G41" i="4" s="1"/>
  <c r="G47" i="4" s="1"/>
  <c r="H21" i="4"/>
  <c r="B22" i="4"/>
  <c r="G22" i="4"/>
  <c r="H22" i="4"/>
  <c r="H23" i="4"/>
  <c r="H24" i="4"/>
  <c r="H25" i="4"/>
  <c r="F26" i="4"/>
  <c r="H26" i="4" s="1"/>
  <c r="H27" i="4"/>
  <c r="E28" i="4"/>
  <c r="H28" i="4" s="1"/>
  <c r="H29" i="4"/>
  <c r="H30" i="4"/>
  <c r="H31" i="4"/>
  <c r="B32" i="4"/>
  <c r="C32" i="4"/>
  <c r="D32" i="4"/>
  <c r="E32" i="4"/>
  <c r="F32" i="4"/>
  <c r="H33" i="4"/>
  <c r="H34" i="4"/>
  <c r="H38" i="4"/>
  <c r="H39" i="4"/>
  <c r="G40" i="4"/>
  <c r="B41" i="4"/>
  <c r="C41" i="4"/>
  <c r="D41" i="4"/>
  <c r="E41" i="4"/>
  <c r="F41" i="4"/>
  <c r="H42" i="4"/>
  <c r="H43" i="4"/>
  <c r="H44" i="4"/>
  <c r="H45" i="4"/>
  <c r="B47" i="4"/>
  <c r="D47" i="4"/>
  <c r="F47" i="4"/>
  <c r="H48" i="4"/>
  <c r="H49" i="4"/>
  <c r="H50" i="4"/>
  <c r="H51" i="4"/>
  <c r="C53" i="4"/>
  <c r="H54" i="4"/>
  <c r="H55" i="4"/>
  <c r="H56" i="4"/>
  <c r="H57" i="4"/>
  <c r="H58" i="4"/>
  <c r="H59" i="4"/>
  <c r="B60" i="4"/>
  <c r="D60" i="4"/>
  <c r="H60" i="4" s="1"/>
  <c r="E60" i="4"/>
  <c r="F60" i="4"/>
  <c r="F68" i="4" s="1"/>
  <c r="G60" i="4"/>
  <c r="H61" i="4"/>
  <c r="H62" i="4"/>
  <c r="H63" i="4"/>
  <c r="H64" i="4"/>
  <c r="G65" i="4"/>
  <c r="G66" i="4"/>
  <c r="H67" i="4"/>
  <c r="B68" i="4"/>
  <c r="B76" i="4" s="1"/>
  <c r="D68" i="4"/>
  <c r="D76" i="4"/>
  <c r="E68" i="4"/>
  <c r="E76" i="4" s="1"/>
  <c r="E83" i="4" s="1"/>
  <c r="E91" i="4" s="1"/>
  <c r="I9" i="3"/>
  <c r="I12" i="3"/>
  <c r="I20" i="3"/>
  <c r="I27" i="3" s="1"/>
  <c r="I34" i="3" s="1"/>
  <c r="I32" i="3"/>
  <c r="J11" i="10" s="1"/>
  <c r="H18" i="2"/>
  <c r="G74" i="4"/>
  <c r="H74" i="4"/>
  <c r="G76" i="4"/>
  <c r="C47" i="4"/>
  <c r="D79" i="4"/>
  <c r="H79" i="4" s="1"/>
  <c r="D83" i="4"/>
  <c r="D91" i="4" s="1"/>
  <c r="H81" i="4"/>
  <c r="H80" i="4"/>
  <c r="J48" i="15"/>
  <c r="H48" i="15"/>
  <c r="B76" i="16"/>
  <c r="D83" i="16"/>
  <c r="D92" i="16" s="1"/>
  <c r="D79" i="16"/>
  <c r="G76" i="16"/>
  <c r="G83" i="16" s="1"/>
  <c r="G92" i="16" s="1"/>
  <c r="B83" i="16"/>
  <c r="B92" i="16" s="1"/>
  <c r="K48" i="12"/>
  <c r="H32" i="4" l="1"/>
  <c r="F76" i="16"/>
  <c r="H68" i="16"/>
  <c r="F76" i="4"/>
  <c r="F83" i="4" s="1"/>
  <c r="F91" i="4" s="1"/>
  <c r="H68" i="4"/>
  <c r="H41" i="16"/>
  <c r="H47" i="16" s="1"/>
  <c r="B47" i="16"/>
  <c r="B83" i="4"/>
  <c r="H41" i="4"/>
  <c r="H47" i="4" s="1"/>
  <c r="J27" i="2"/>
  <c r="J24" i="2" s="1"/>
  <c r="J34" i="2" s="1"/>
  <c r="K39" i="3"/>
  <c r="E47" i="4"/>
  <c r="H19" i="16"/>
  <c r="H20" i="16" s="1"/>
  <c r="H32" i="16" s="1"/>
  <c r="H26" i="1"/>
  <c r="J8" i="10"/>
  <c r="J20" i="10" s="1"/>
  <c r="J27" i="10" s="1"/>
  <c r="H34" i="2"/>
  <c r="J40" i="10"/>
  <c r="J29" i="10" s="1"/>
  <c r="J47" i="10" s="1"/>
  <c r="I57" i="12"/>
  <c r="H36" i="15"/>
  <c r="H55" i="15" s="1"/>
  <c r="J36" i="15"/>
  <c r="J50" i="15" s="1"/>
  <c r="I39" i="3"/>
  <c r="I8" i="12"/>
  <c r="I33" i="12" s="1"/>
  <c r="I43" i="12" s="1"/>
  <c r="I48" i="12" s="1"/>
  <c r="M48" i="12" s="1"/>
  <c r="H83" i="4" l="1"/>
  <c r="B91" i="4"/>
  <c r="H91" i="4" s="1"/>
  <c r="H76" i="4"/>
  <c r="H76" i="16"/>
  <c r="F83" i="16"/>
  <c r="H18" i="1"/>
  <c r="H50" i="1" s="1"/>
  <c r="M26" i="1"/>
  <c r="J55" i="15"/>
  <c r="H50" i="15"/>
  <c r="F92" i="16" l="1"/>
  <c r="H92" i="16" s="1"/>
  <c r="H83" i="16"/>
</calcChain>
</file>

<file path=xl/sharedStrings.xml><?xml version="1.0" encoding="utf-8"?>
<sst xmlns="http://schemas.openxmlformats.org/spreadsheetml/2006/main" count="485" uniqueCount="270">
  <si>
    <t>Fundação de Desenvolvimento da Pesquisa</t>
  </si>
  <si>
    <t>CNPJ/MF 18.720.938/0001-41</t>
  </si>
  <si>
    <t>( Em R$ 1)</t>
  </si>
  <si>
    <t xml:space="preserve">Exercício findo em </t>
  </si>
  <si>
    <t>ATIVO</t>
  </si>
  <si>
    <t>Disponibilidades</t>
  </si>
  <si>
    <t>Adiantamentos p/ Projetos</t>
  </si>
  <si>
    <t>Tributos a Recuperar</t>
  </si>
  <si>
    <t>Despesas Antecipadas</t>
  </si>
  <si>
    <t xml:space="preserve">Outros Ativos Circulantes </t>
  </si>
  <si>
    <t>Realizável a Longo Prazo</t>
  </si>
  <si>
    <t>( 5 )</t>
  </si>
  <si>
    <t>Investimentos</t>
  </si>
  <si>
    <t xml:space="preserve">  Participações Societárias </t>
  </si>
  <si>
    <t>( 6 )</t>
  </si>
  <si>
    <t xml:space="preserve">  Imóveis de Aluguel</t>
  </si>
  <si>
    <t>( 7 )</t>
  </si>
  <si>
    <t xml:space="preserve">  Depreciação Acumulada</t>
  </si>
  <si>
    <t>Imobilizado</t>
  </si>
  <si>
    <t xml:space="preserve">  Instalações </t>
  </si>
  <si>
    <t xml:space="preserve">  Biblioteca</t>
  </si>
  <si>
    <t xml:space="preserve">  Móveis e Utensílios</t>
  </si>
  <si>
    <t xml:space="preserve">  Máquinas e Equipamentos</t>
  </si>
  <si>
    <t xml:space="preserve">  Computadores e Periféricos</t>
  </si>
  <si>
    <t xml:space="preserve">  Veículos</t>
  </si>
  <si>
    <t xml:space="preserve">  Obras de Arte</t>
  </si>
  <si>
    <t xml:space="preserve">   Gastos c/ Pesquisa e Desenvolvimento</t>
  </si>
  <si>
    <t xml:space="preserve">   Direito de Uso de Software</t>
  </si>
  <si>
    <t xml:space="preserve">   Amortização Acumulada</t>
  </si>
  <si>
    <t>PASSIVO</t>
  </si>
  <si>
    <t>( 9 )</t>
  </si>
  <si>
    <t>Fornecedores</t>
  </si>
  <si>
    <t>Obrigações Fiscais</t>
  </si>
  <si>
    <t>Encargos Sociais e Provisão para Férias</t>
  </si>
  <si>
    <t>Outros Passivos Circulantes</t>
  </si>
  <si>
    <t>Projetos e Cursos</t>
  </si>
  <si>
    <t>Provisão p/ Contingências Fiscais</t>
  </si>
  <si>
    <t>Provisão p/ Contingências Previdenciárias</t>
  </si>
  <si>
    <t>Fundo Patrimonial</t>
  </si>
  <si>
    <t>Fundo de Apoio ao Desenvolvimento Acadêmico</t>
  </si>
  <si>
    <t>Fundo de Apoio ao Desenvolvimento Institucional</t>
  </si>
  <si>
    <t>Reservas de Reavaliação</t>
  </si>
  <si>
    <t>CNPJ/MF No.18.720.938/0001-41</t>
  </si>
  <si>
    <t>Exercício findo em</t>
  </si>
  <si>
    <t>Receita Operacional Bruta</t>
  </si>
  <si>
    <t>Serviços Prestados</t>
  </si>
  <si>
    <t>Despesas Operacionais</t>
  </si>
  <si>
    <t xml:space="preserve">Despesas com Pessoal </t>
  </si>
  <si>
    <t>Despesas Gerais</t>
  </si>
  <si>
    <t>Despesas Tributárias</t>
  </si>
  <si>
    <t>Outras Despesas Operacionais</t>
  </si>
  <si>
    <t>Outras Receitas Operacionais</t>
  </si>
  <si>
    <t>Resultado Financeiro</t>
  </si>
  <si>
    <t>Despesas Financeiras</t>
  </si>
  <si>
    <t>Variação Monetária Passiva</t>
  </si>
  <si>
    <t>Receitas Financeiras</t>
  </si>
  <si>
    <t>Variação Cambial Negativa</t>
  </si>
  <si>
    <t>Variação Monetária Ativa</t>
  </si>
  <si>
    <t>Superávit Operacional</t>
  </si>
  <si>
    <t>Despesas Não-Operacionais</t>
  </si>
  <si>
    <t>Receitas  Não-Operacionais</t>
  </si>
  <si>
    <t>Fundo de Apoio ao Desenvolvimento Acadêmico     30%</t>
  </si>
  <si>
    <t>Fundo de Apoio ao Desenvolvimento Institucional   40%</t>
  </si>
  <si>
    <t>Resultado Líquido transferido p/ Fundo Patrimonial</t>
  </si>
  <si>
    <t>Demonstração das Mutações do Patrimônio Social</t>
  </si>
  <si>
    <t>Fundo de Apoio ao Desenvolv. IEAT/UFMG</t>
  </si>
  <si>
    <t>Fundo de Apoio ao Desenvolv. Acadêmico</t>
  </si>
  <si>
    <t xml:space="preserve">Fundo de Apoio ao Desenvolv. Institucional </t>
  </si>
  <si>
    <t>Reserva Reavaliação</t>
  </si>
  <si>
    <t>Superávit Acumulado</t>
  </si>
  <si>
    <t>Total</t>
  </si>
  <si>
    <t>Saldos em 31.12.99</t>
  </si>
  <si>
    <t>Ajuste de Exercício Anterior</t>
  </si>
  <si>
    <t xml:space="preserve">Incorporação </t>
  </si>
  <si>
    <t>Reserva de Reavaliação</t>
  </si>
  <si>
    <t>Constituição p/Provisão</t>
  </si>
  <si>
    <t>de Contingências</t>
  </si>
  <si>
    <t>Realização de Reservas</t>
  </si>
  <si>
    <t>Superávit do Exercício</t>
  </si>
  <si>
    <t>Constituição de Reservas (fundos)</t>
  </si>
  <si>
    <t>Saldos em 31.12.2000</t>
  </si>
  <si>
    <t>Fundo Acadêmico</t>
  </si>
  <si>
    <t>Fundo Apoio Desenv.Institucional</t>
  </si>
  <si>
    <t>Doação ao IEAT/UFMG</t>
  </si>
  <si>
    <t>Saldos em 31.12.2001</t>
  </si>
  <si>
    <t>Saldos em 31.12.2002</t>
  </si>
  <si>
    <t xml:space="preserve">Constituição de Reservas </t>
  </si>
  <si>
    <t>Saldos em 31.12.2003</t>
  </si>
  <si>
    <t>Doações Recebidas</t>
  </si>
  <si>
    <t>Saldos em 31.12.2005</t>
  </si>
  <si>
    <t>( em R$ 1)</t>
  </si>
  <si>
    <t>Aplicações Financeiras</t>
  </si>
  <si>
    <t>Saldos em 31.12.2006</t>
  </si>
  <si>
    <t>( 4 )</t>
  </si>
  <si>
    <t>Superávit (Déficit) Não-Operacional</t>
  </si>
  <si>
    <t xml:space="preserve">Balanço Patrimonial </t>
  </si>
  <si>
    <t>Balanço Patrimonial</t>
  </si>
  <si>
    <t>Doações Realizadas</t>
  </si>
  <si>
    <t>Constituição Fundo Fundep</t>
  </si>
  <si>
    <t>Saldos em 31.12.2007</t>
  </si>
  <si>
    <t xml:space="preserve">  Depósitos Judiciais e Recursais</t>
  </si>
  <si>
    <t xml:space="preserve">  Depósitos Judiciais Previdenciários</t>
  </si>
  <si>
    <t xml:space="preserve">  Aplicações Financeiras</t>
  </si>
  <si>
    <t xml:space="preserve">  Despesas Antecipadas</t>
  </si>
  <si>
    <t xml:space="preserve">  Imóveis</t>
  </si>
  <si>
    <t xml:space="preserve">   Marcas, Direitos e Patentes</t>
  </si>
  <si>
    <t>Intangível</t>
  </si>
  <si>
    <t>CIRCULANTE</t>
  </si>
  <si>
    <t>NÃO CIRCULANTE</t>
  </si>
  <si>
    <t>PATRIMÔNIO SOCIAL</t>
  </si>
  <si>
    <t>Fundação de Desenvolvimento da Pesquisa - FUNDEP</t>
  </si>
  <si>
    <t>CNPJ/MF: 18.720.938/0001-41</t>
  </si>
  <si>
    <t>Demonstração do Valor Adicionado - DVA</t>
  </si>
  <si>
    <t>1. RECEITAS</t>
  </si>
  <si>
    <t xml:space="preserve">          Receitas de Serviços Prestados</t>
  </si>
  <si>
    <t xml:space="preserve">          Outras Receitas Operacionais</t>
  </si>
  <si>
    <t xml:space="preserve">          Resultado não Operacional</t>
  </si>
  <si>
    <t>2. INSUMOS ADQUIRIDOS DE TERCEIROS</t>
  </si>
  <si>
    <t xml:space="preserve">          Materiais Consumidos</t>
  </si>
  <si>
    <t xml:space="preserve">          Energia, Serviços de Terceiros e outras Despesas Operacionais</t>
  </si>
  <si>
    <t>3. RETENÇÕES</t>
  </si>
  <si>
    <t xml:space="preserve">          Depreciação, Amortização e Exaustão</t>
  </si>
  <si>
    <t>4. VALOR ADICIONADO LÍQUIDO PRODUZIDO PELA ENTIDADE</t>
  </si>
  <si>
    <t>5. VALOR ADICIONADO RECEBIDO EM TRANSFERÊNCIA</t>
  </si>
  <si>
    <t xml:space="preserve">          Receitas Financeiras</t>
  </si>
  <si>
    <t xml:space="preserve">          Variações Monetárias Ativas</t>
  </si>
  <si>
    <t xml:space="preserve">          Aluguéis</t>
  </si>
  <si>
    <t>6. VALOR ADICIONADO TOTAL A DISTRIBUIR</t>
  </si>
  <si>
    <t>7. DISTRIBUIÇÃO DO VALOR ADICIONADO</t>
  </si>
  <si>
    <t>7.1. Colaboradores</t>
  </si>
  <si>
    <t xml:space="preserve">          Salários e Encargos</t>
  </si>
  <si>
    <t xml:space="preserve">          Vale Refeição e Vale Transporte</t>
  </si>
  <si>
    <t xml:space="preserve">          Aperfeiçoamento de Pessoal</t>
  </si>
  <si>
    <t>7.2. Governo</t>
  </si>
  <si>
    <t xml:space="preserve">          Tributos sobre a Folha de Salários</t>
  </si>
  <si>
    <t xml:space="preserve">          Tributos Federais</t>
  </si>
  <si>
    <t xml:space="preserve">          Licenças, Taxas e Outras</t>
  </si>
  <si>
    <t>7.3. Agentes Financiadores</t>
  </si>
  <si>
    <t xml:space="preserve">          Juros sobre Empréstimos</t>
  </si>
  <si>
    <t xml:space="preserve">          Variações Cambiais Passivas</t>
  </si>
  <si>
    <t xml:space="preserve">          Variações Monetárias Passivas</t>
  </si>
  <si>
    <t xml:space="preserve">          Outras Despesas Financeiras</t>
  </si>
  <si>
    <t xml:space="preserve">          Outras Despesas Operacionais</t>
  </si>
  <si>
    <t>7.4. Superávit (Déficit) do Período</t>
  </si>
  <si>
    <t xml:space="preserve">  Benfeitorias em Imóveis de Terceiros</t>
  </si>
  <si>
    <t>Constituição Fundo FFADI</t>
  </si>
  <si>
    <t>Saldos em 31.12.2008</t>
  </si>
  <si>
    <t>Demonstração do Fluxo de Caixa - DFC - (Método Indireto)</t>
  </si>
  <si>
    <t>( em R$ 1 )</t>
  </si>
  <si>
    <t>1. Fluxo de Caixa das atividades operacionais</t>
  </si>
  <si>
    <t>(+) Lucro Líquido antes do Imposto de Renda e Contribuição Social</t>
  </si>
  <si>
    <t>Ajustes por:</t>
  </si>
  <si>
    <t>(=) Caixa Líquido proveniente das atividades operacionais</t>
  </si>
  <si>
    <t>2. Fluxo de Caixa das atividades de investimento</t>
  </si>
  <si>
    <t>(-) Caixa Líquido usado nas atividades de investimento</t>
  </si>
  <si>
    <t>3. Fluxo de Caixa das atividades de financiamento</t>
  </si>
  <si>
    <t>( 8 )</t>
  </si>
  <si>
    <t>TOTAL DO ATIVO</t>
  </si>
  <si>
    <t>ATIVO COMPENSADO</t>
  </si>
  <si>
    <t>TOTAL DO PASSIVO</t>
  </si>
  <si>
    <t>PASSIVO COMPENSADO</t>
  </si>
  <si>
    <t>As notas explicativas são parte integrante das demonstrações financeiras.</t>
  </si>
  <si>
    <t>(+) Depreciação e Amortização</t>
  </si>
  <si>
    <t>Variação dos Ativos Operacionais:</t>
  </si>
  <si>
    <t>(+) Redução Adiantamentos p/ Projetos</t>
  </si>
  <si>
    <t>(+) Redução de Tributos a Recuperar</t>
  </si>
  <si>
    <t>(+) Redução das Despesas Antecipadas</t>
  </si>
  <si>
    <t>(-) Aumento de Outros Ativos Circulantes</t>
  </si>
  <si>
    <t>(+) Redução das Aplicações Financeiras</t>
  </si>
  <si>
    <t>(+) Redução dos Titulos a Receber</t>
  </si>
  <si>
    <t>Variação dos Passivos Operacionais:</t>
  </si>
  <si>
    <t>(-) Redução das Obrigações Fiscais</t>
  </si>
  <si>
    <t>(+) Aumento dos Encargos e Provisão para Férias</t>
  </si>
  <si>
    <t>(-) Redução dos Outros Passivos Circulantes</t>
  </si>
  <si>
    <t>(+) Aumento dos Projetos e Cursos</t>
  </si>
  <si>
    <t>(+) Constituição do Fundo FFADI</t>
  </si>
  <si>
    <t>4. Aumento das Disponibilidades e Aplicação Financeira</t>
  </si>
  <si>
    <t>Disponibilidade e Aplicação Financeira com Disponibilidade Imediata</t>
  </si>
  <si>
    <t>no Início do Período</t>
  </si>
  <si>
    <t>no Fim do Período</t>
  </si>
  <si>
    <t>(-) Receita de Doações</t>
  </si>
  <si>
    <t>(+) Valor Residual Ativo Baixado</t>
  </si>
  <si>
    <t>(-) Realização Reserva Reavaliação</t>
  </si>
  <si>
    <t>(+) Ajuste Exercícios Anteriores</t>
  </si>
  <si>
    <t>(-) Redução Contas a Pagar - Fornecedores</t>
  </si>
  <si>
    <t>(-) Compra Ativo Intangível</t>
  </si>
  <si>
    <t>(-) Compra Ativo Imobilizado</t>
  </si>
  <si>
    <t>(+) Fundo de Apoio ao Desenvolvimento Acadêmico</t>
  </si>
  <si>
    <t>(+) Fundo de Apoio ao Desenvolvimento Institucional</t>
  </si>
  <si>
    <t>(-) Realização Fundo Apoio ao Desenvolvimento Acadêmico 2007</t>
  </si>
  <si>
    <t>(-) Realização Fundo Apoio ao Desenvolvimento Institucional 2007</t>
  </si>
  <si>
    <t>( 10 )</t>
  </si>
  <si>
    <t>31.12.2009</t>
  </si>
  <si>
    <t xml:space="preserve">  Imobilizado em Andamento</t>
  </si>
  <si>
    <t>Financiamentos</t>
  </si>
  <si>
    <t>Parcelamentos (CM Refis)</t>
  </si>
  <si>
    <t>FFADI</t>
  </si>
  <si>
    <t>Saldos em 31.12.2009</t>
  </si>
  <si>
    <t>Déficit do Exercício</t>
  </si>
  <si>
    <t xml:space="preserve">Incorporação/Redução </t>
  </si>
  <si>
    <t>Demonstração do Superávit/Déficit  do Exercício</t>
  </si>
  <si>
    <t>SUPERÁVIT/DÉFICIT DO EXERCÍCIO</t>
  </si>
  <si>
    <t>31.12.2010</t>
  </si>
  <si>
    <t>Presidente</t>
  </si>
  <si>
    <t>Saldos em 31.12.2010</t>
  </si>
  <si>
    <t>Variação dos Ativos Operacionais: (Aumento) Redução</t>
  </si>
  <si>
    <t>Aumento de Adiantamentos p/ Projetos</t>
  </si>
  <si>
    <t>Redução de Tributos a Recuperar</t>
  </si>
  <si>
    <t>Aumento das Despesas Antecipadas</t>
  </si>
  <si>
    <t>Aumento de Outros Ativos Circulantes</t>
  </si>
  <si>
    <t>Aumento das Aplicações Financeiras</t>
  </si>
  <si>
    <t>Redução dos Titulos a Receber</t>
  </si>
  <si>
    <t>Variação dos Passivos Operacionais: Aumento (Redução)</t>
  </si>
  <si>
    <t>Redução dos Encargos e Provisão para Férias</t>
  </si>
  <si>
    <t>Redução dos Projetos e Cursos</t>
  </si>
  <si>
    <t>Aumento dos Outros Passivos Circulantes</t>
  </si>
  <si>
    <t>Aumento das Obrigações Fiscais</t>
  </si>
  <si>
    <t>Aumento Contas a Pagar - Fornecedores</t>
  </si>
  <si>
    <t>(-) Deficit do Exercício</t>
  </si>
  <si>
    <t>Aquisição Ativo Investimentos</t>
  </si>
  <si>
    <t>Aquisição Ativo Intangível</t>
  </si>
  <si>
    <t>Aumento Fundo Patrimonial</t>
  </si>
  <si>
    <t>Aquisição Ativo Imobilizado</t>
  </si>
  <si>
    <t>Redução de Depositos judiciais</t>
  </si>
  <si>
    <t>Pagamento de Financiamentos</t>
  </si>
  <si>
    <t>Redução Fundo FFADI</t>
  </si>
  <si>
    <t>Redução FFADI</t>
  </si>
  <si>
    <t>Incorporação/Redução</t>
  </si>
  <si>
    <t xml:space="preserve">Demonstração das Origens e Aplicações de Recursos </t>
  </si>
  <si>
    <t>ORIGENS DE RECURSOS</t>
  </si>
  <si>
    <t xml:space="preserve">   DAS OPERAÇÕES</t>
  </si>
  <si>
    <t>Superávit/Déficit do Exercício</t>
  </si>
  <si>
    <t>Depreciações e Amortizações</t>
  </si>
  <si>
    <t>Baixa de Investimentos</t>
  </si>
  <si>
    <t>Amortização de débitos de Longo Prazo</t>
  </si>
  <si>
    <t>Transferências do Realizável Longo Prazo p/ Curto Prazo</t>
  </si>
  <si>
    <t xml:space="preserve">   DE TERCEIROS</t>
  </si>
  <si>
    <t>APLICAÇÕES DE RECURSOS</t>
  </si>
  <si>
    <t>Aumento do Realizável a Longo Prazo</t>
  </si>
  <si>
    <t>Adições ao Custo de Investimentos</t>
  </si>
  <si>
    <t>Adições ao Ativo Imobilizado</t>
  </si>
  <si>
    <r>
      <t>Adições ao Ativo Intangível (</t>
    </r>
    <r>
      <rPr>
        <sz val="9"/>
        <rFont val="Times New Roman"/>
        <family val="1"/>
      </rPr>
      <t>ex Diferido</t>
    </r>
    <r>
      <rPr>
        <sz val="11"/>
        <rFont val="Times New Roman"/>
        <family val="1"/>
      </rPr>
      <t>)</t>
    </r>
  </si>
  <si>
    <t>Quitação de Financiamentos de Longo Prazo</t>
  </si>
  <si>
    <t>Fundos Propostos e Realizados</t>
  </si>
  <si>
    <t>AUMENTO (REDUÇÃO) DO CAPITAL CIRCULANTE LÍQUIDO</t>
  </si>
  <si>
    <t>VARIAÇÃO DO CAPITAL CIRCULANTE LÍQUIDO</t>
  </si>
  <si>
    <t>Ativo Circulante</t>
  </si>
  <si>
    <t>Fim do Exercício</t>
  </si>
  <si>
    <t>Início do Exercício</t>
  </si>
  <si>
    <t>Passivo Circulante</t>
  </si>
  <si>
    <t xml:space="preserve"> AUMENTO (REDUÇÃO) DO CAPITAL CIRCULANTE LÍQUIDO</t>
  </si>
  <si>
    <r>
      <t>Redução do Passivo Não Circulante (</t>
    </r>
    <r>
      <rPr>
        <sz val="9"/>
        <rFont val="Times New Roman"/>
        <family val="1"/>
      </rPr>
      <t>ex E. L. P.</t>
    </r>
    <r>
      <rPr>
        <sz val="11"/>
        <rFont val="Times New Roman"/>
        <family val="1"/>
      </rPr>
      <t>)</t>
    </r>
  </si>
  <si>
    <t>Redução do Realizável a Longo Prazo</t>
  </si>
  <si>
    <t>Redução do FFADI</t>
  </si>
  <si>
    <t xml:space="preserve">Baixa vr residual do Imobilizado/Intangível </t>
  </si>
  <si>
    <t xml:space="preserve">Reversão da Baixa Depreciação Imobilizado </t>
  </si>
  <si>
    <t xml:space="preserve">(+) Baixas do Ativo Permanente </t>
  </si>
  <si>
    <t>Marco Aurélio Crocco Afonso</t>
  </si>
  <si>
    <t>Henrique Vitor Leite                    João Pinto Furtado</t>
  </si>
  <si>
    <t xml:space="preserve">                                                    Diretor de Operações                       Diretor Desenv. Institucional</t>
  </si>
  <si>
    <t>Henrique Vitor Leite                                 João Pinto Furtado</t>
  </si>
  <si>
    <t>MRW Contadoria e Consultoria Empresarial Ltda.</t>
  </si>
  <si>
    <t>CRC/MG nº 05783 - CNPJ/MF: 86.922.127/0001-83</t>
  </si>
  <si>
    <t>Walter Parreiras Araújo</t>
  </si>
  <si>
    <t>CRC/MG nº 42.378</t>
  </si>
  <si>
    <t xml:space="preserve">       Diretor de Operações                                       Diretor Desenv. Institucional</t>
  </si>
  <si>
    <t xml:space="preserve"> </t>
  </si>
  <si>
    <t>Ajuste de Avaliação Patrimonial</t>
  </si>
  <si>
    <t>( 11 )</t>
  </si>
  <si>
    <t>( 12 )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</si>
</sst>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0_);\(0\)"/>
    <numFmt numFmtId="167" formatCode="#,##0;[Red]#,##0"/>
  </numFmts>
  <fonts count="49" x14ac:knownFonts="1">
    <font>
      <sz val="10"/>
      <name val="Arial"/>
    </font>
    <font>
      <sz val="10"/>
      <name val="Arial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indexed="10"/>
      <name val="Times New Roman"/>
      <family val="1"/>
    </font>
    <font>
      <b/>
      <u/>
      <sz val="11"/>
      <name val="Times New Roman"/>
      <family val="1"/>
    </font>
    <font>
      <b/>
      <u val="singleAccounting"/>
      <sz val="11"/>
      <name val="Times New Roman"/>
      <family val="1"/>
    </font>
    <font>
      <u val="singleAccounting"/>
      <sz val="11"/>
      <name val="Times New Roman"/>
      <family val="1"/>
    </font>
    <font>
      <i/>
      <sz val="11"/>
      <name val="Times New Roman"/>
      <family val="1"/>
    </font>
    <font>
      <i/>
      <u/>
      <sz val="11"/>
      <name val="Times New Roman"/>
      <family val="1"/>
    </font>
    <font>
      <b/>
      <sz val="11"/>
      <color indexed="10"/>
      <name val="Times New Roman"/>
      <family val="1"/>
    </font>
    <font>
      <sz val="11"/>
      <color indexed="12"/>
      <name val="Times New Roman"/>
      <family val="1"/>
    </font>
    <font>
      <u/>
      <sz val="11"/>
      <name val="Times New Roman"/>
      <family val="1"/>
    </font>
    <font>
      <i/>
      <sz val="11"/>
      <color indexed="10"/>
      <name val="Times New Roman"/>
      <family val="1"/>
    </font>
    <font>
      <b/>
      <u val="singleAccounting"/>
      <sz val="11"/>
      <color indexed="10"/>
      <name val="Times New Roman"/>
      <family val="1"/>
    </font>
    <font>
      <sz val="11"/>
      <color indexed="8"/>
      <name val="Times New Roman"/>
      <family val="1"/>
    </font>
    <font>
      <i/>
      <sz val="11"/>
      <name val="Bookman Old Style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u val="double"/>
      <sz val="12"/>
      <name val="Times New Roman"/>
      <family val="1"/>
    </font>
    <font>
      <sz val="8"/>
      <name val="Times New Roman"/>
      <family val="1"/>
    </font>
    <font>
      <u val="doubleAccounting"/>
      <sz val="11"/>
      <name val="Times New Roman"/>
      <family val="1"/>
    </font>
    <font>
      <b/>
      <u val="double"/>
      <sz val="11"/>
      <name val="Times New Roman"/>
      <family val="1"/>
    </font>
    <font>
      <b/>
      <u val="doubleAccounting"/>
      <sz val="11"/>
      <name val="Times New Roman"/>
      <family val="1"/>
    </font>
    <font>
      <b/>
      <i/>
      <sz val="12"/>
      <name val="Times New Roman"/>
      <family val="1"/>
    </font>
    <font>
      <sz val="9"/>
      <name val="Times New Roman"/>
      <family val="1"/>
    </font>
    <font>
      <sz val="9"/>
      <color indexed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Bookman Old Style"/>
      <family val="1"/>
    </font>
    <font>
      <sz val="12"/>
      <color rgb="FF0070C0"/>
      <name val="Times New Roman"/>
      <family val="1"/>
    </font>
    <font>
      <sz val="12"/>
      <color rgb="FFFF0000"/>
      <name val="Bookman Old Style"/>
      <family val="1"/>
    </font>
    <font>
      <u val="doubleAccounting"/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u val="double"/>
      <sz val="12"/>
      <color theme="1"/>
      <name val="Times New Roman"/>
      <family val="1"/>
    </font>
    <font>
      <sz val="12"/>
      <color theme="0" tint="-4.9989318521683403E-2"/>
      <name val="Bookman Old Style"/>
      <family val="1"/>
    </font>
    <font>
      <sz val="11"/>
      <color theme="0"/>
      <name val="Times New Roman"/>
      <family val="1"/>
    </font>
    <font>
      <b/>
      <i/>
      <sz val="12"/>
      <color theme="1"/>
      <name val="Times New Roman"/>
      <family val="1"/>
    </font>
    <font>
      <sz val="8"/>
      <color theme="0"/>
      <name val="Times New Roman"/>
      <family val="1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3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165" fontId="3" fillId="0" borderId="0" xfId="2" applyNumberFormat="1" applyFont="1"/>
    <xf numFmtId="164" fontId="3" fillId="0" borderId="0" xfId="2" applyFont="1"/>
    <xf numFmtId="0" fontId="6" fillId="0" borderId="0" xfId="0" applyFont="1" applyAlignment="1">
      <alignment horizontal="center"/>
    </xf>
    <xf numFmtId="0" fontId="2" fillId="0" borderId="0" xfId="0" applyFont="1"/>
    <xf numFmtId="49" fontId="5" fillId="0" borderId="0" xfId="0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165" fontId="7" fillId="0" borderId="0" xfId="2" applyNumberFormat="1" applyFont="1"/>
    <xf numFmtId="49" fontId="3" fillId="0" borderId="0" xfId="0" applyNumberFormat="1" applyFont="1" applyAlignment="1">
      <alignment horizontal="right"/>
    </xf>
    <xf numFmtId="165" fontId="3" fillId="0" borderId="0" xfId="2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49" fontId="5" fillId="0" borderId="0" xfId="0" applyNumberFormat="1" applyFont="1"/>
    <xf numFmtId="0" fontId="9" fillId="0" borderId="0" xfId="0" applyFont="1"/>
    <xf numFmtId="0" fontId="10" fillId="0" borderId="0" xfId="0" applyFont="1" applyBorder="1"/>
    <xf numFmtId="0" fontId="4" fillId="0" borderId="0" xfId="0" applyFont="1" applyAlignment="1"/>
    <xf numFmtId="0" fontId="3" fillId="0" borderId="0" xfId="0" applyFont="1" applyAlignment="1"/>
    <xf numFmtId="165" fontId="3" fillId="0" borderId="0" xfId="2" applyNumberFormat="1" applyFont="1" applyAlignment="1"/>
    <xf numFmtId="0" fontId="2" fillId="0" borderId="0" xfId="0" applyFont="1" applyBorder="1" applyAlignment="1">
      <alignment horizontal="center"/>
    </xf>
    <xf numFmtId="165" fontId="2" fillId="0" borderId="0" xfId="2" applyNumberFormat="1" applyFont="1"/>
    <xf numFmtId="0" fontId="3" fillId="0" borderId="0" xfId="0" applyFont="1" applyAlignment="1">
      <alignment horizontal="right"/>
    </xf>
    <xf numFmtId="165" fontId="3" fillId="0" borderId="0" xfId="2" applyNumberFormat="1" applyFont="1" applyBorder="1"/>
    <xf numFmtId="0" fontId="3" fillId="0" borderId="0" xfId="0" quotePrefix="1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49" fontId="3" fillId="0" borderId="0" xfId="0" applyNumberFormat="1" applyFont="1"/>
    <xf numFmtId="164" fontId="3" fillId="0" borderId="0" xfId="2" applyFont="1" applyBorder="1"/>
    <xf numFmtId="165" fontId="9" fillId="0" borderId="0" xfId="2" applyNumberFormat="1" applyFont="1"/>
    <xf numFmtId="0" fontId="2" fillId="0" borderId="0" xfId="0" applyFont="1" applyAlignment="1">
      <alignment horizontal="left"/>
    </xf>
    <xf numFmtId="166" fontId="3" fillId="0" borderId="0" xfId="0" applyNumberFormat="1" applyFont="1"/>
    <xf numFmtId="0" fontId="12" fillId="0" borderId="0" xfId="0" applyFont="1"/>
    <xf numFmtId="165" fontId="2" fillId="0" borderId="1" xfId="2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5" xfId="0" applyFont="1" applyBorder="1"/>
    <xf numFmtId="165" fontId="3" fillId="0" borderId="6" xfId="2" applyNumberFormat="1" applyFont="1" applyBorder="1"/>
    <xf numFmtId="165" fontId="3" fillId="0" borderId="7" xfId="2" applyNumberFormat="1" applyFont="1" applyBorder="1"/>
    <xf numFmtId="0" fontId="3" fillId="0" borderId="8" xfId="0" applyFont="1" applyBorder="1"/>
    <xf numFmtId="165" fontId="3" fillId="0" borderId="5" xfId="2" applyNumberFormat="1" applyFont="1" applyBorder="1"/>
    <xf numFmtId="165" fontId="3" fillId="0" borderId="9" xfId="2" applyNumberFormat="1" applyFont="1" applyBorder="1"/>
    <xf numFmtId="0" fontId="3" fillId="0" borderId="3" xfId="0" applyFont="1" applyBorder="1"/>
    <xf numFmtId="0" fontId="3" fillId="0" borderId="6" xfId="0" applyFont="1" applyBorder="1"/>
    <xf numFmtId="165" fontId="3" fillId="0" borderId="8" xfId="2" applyNumberFormat="1" applyFont="1" applyBorder="1"/>
    <xf numFmtId="165" fontId="3" fillId="0" borderId="10" xfId="2" applyNumberFormat="1" applyFont="1" applyBorder="1"/>
    <xf numFmtId="0" fontId="6" fillId="0" borderId="6" xfId="0" applyFont="1" applyBorder="1"/>
    <xf numFmtId="165" fontId="3" fillId="0" borderId="11" xfId="2" applyNumberFormat="1" applyFont="1" applyBorder="1"/>
    <xf numFmtId="165" fontId="3" fillId="0" borderId="12" xfId="2" applyNumberFormat="1" applyFont="1" applyBorder="1"/>
    <xf numFmtId="0" fontId="3" fillId="0" borderId="9" xfId="0" applyFont="1" applyBorder="1"/>
    <xf numFmtId="165" fontId="2" fillId="0" borderId="11" xfId="2" applyNumberFormat="1" applyFont="1" applyBorder="1"/>
    <xf numFmtId="165" fontId="2" fillId="0" borderId="12" xfId="2" applyNumberFormat="1" applyFont="1" applyBorder="1"/>
    <xf numFmtId="0" fontId="2" fillId="0" borderId="11" xfId="0" applyFont="1" applyBorder="1"/>
    <xf numFmtId="165" fontId="3" fillId="0" borderId="13" xfId="2" applyNumberFormat="1" applyFont="1" applyBorder="1"/>
    <xf numFmtId="165" fontId="3" fillId="0" borderId="14" xfId="2" applyNumberFormat="1" applyFont="1" applyBorder="1"/>
    <xf numFmtId="164" fontId="3" fillId="0" borderId="5" xfId="2" applyFont="1" applyBorder="1"/>
    <xf numFmtId="164" fontId="3" fillId="0" borderId="9" xfId="2" applyFont="1" applyBorder="1"/>
    <xf numFmtId="0" fontId="2" fillId="0" borderId="15" xfId="0" applyFont="1" applyBorder="1"/>
    <xf numFmtId="165" fontId="7" fillId="0" borderId="0" xfId="2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6" fillId="0" borderId="0" xfId="0" applyFont="1" applyAlignment="1"/>
    <xf numFmtId="165" fontId="3" fillId="0" borderId="16" xfId="2" applyNumberFormat="1" applyFont="1" applyBorder="1"/>
    <xf numFmtId="165" fontId="5" fillId="0" borderId="0" xfId="2" applyNumberFormat="1" applyFont="1" applyAlignment="1"/>
    <xf numFmtId="165" fontId="15" fillId="0" borderId="0" xfId="2" applyNumberFormat="1" applyFont="1" applyAlignment="1">
      <alignment horizontal="center"/>
    </xf>
    <xf numFmtId="165" fontId="5" fillId="0" borderId="0" xfId="2" applyNumberFormat="1" applyFont="1"/>
    <xf numFmtId="165" fontId="5" fillId="0" borderId="0" xfId="2" applyNumberFormat="1" applyFont="1" applyAlignment="1">
      <alignment horizontal="right"/>
    </xf>
    <xf numFmtId="165" fontId="11" fillId="0" borderId="0" xfId="2" applyNumberFormat="1" applyFont="1"/>
    <xf numFmtId="167" fontId="5" fillId="0" borderId="0" xfId="0" applyNumberFormat="1" applyFont="1"/>
    <xf numFmtId="165" fontId="7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5" fontId="5" fillId="0" borderId="0" xfId="2" applyNumberFormat="1" applyFont="1" applyAlignment="1">
      <alignment horizontal="center" vertical="center"/>
    </xf>
    <xf numFmtId="165" fontId="3" fillId="0" borderId="0" xfId="2" applyNumberFormat="1" applyFont="1" applyFill="1" applyAlignment="1">
      <alignment horizontal="center" vertical="center"/>
    </xf>
    <xf numFmtId="165" fontId="16" fillId="0" borderId="0" xfId="2" applyNumberFormat="1" applyFont="1" applyAlignment="1">
      <alignment horizontal="center" vertical="center"/>
    </xf>
    <xf numFmtId="165" fontId="3" fillId="0" borderId="0" xfId="2" applyNumberFormat="1" applyFont="1" applyFill="1" applyAlignment="1">
      <alignment horizontal="center"/>
    </xf>
    <xf numFmtId="165" fontId="7" fillId="0" borderId="0" xfId="2" applyNumberFormat="1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/>
    <xf numFmtId="0" fontId="3" fillId="0" borderId="0" xfId="0" applyFont="1" applyFill="1"/>
    <xf numFmtId="165" fontId="8" fillId="0" borderId="0" xfId="2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165" fontId="3" fillId="0" borderId="0" xfId="2" applyNumberFormat="1" applyFont="1" applyFill="1" applyAlignment="1">
      <alignment horizontal="right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2" fontId="5" fillId="0" borderId="0" xfId="0" applyNumberFormat="1" applyFont="1" applyBorder="1" applyAlignment="1">
      <alignment horizontal="center" vertical="center"/>
    </xf>
    <xf numFmtId="165" fontId="5" fillId="0" borderId="0" xfId="2" applyNumberFormat="1" applyFont="1" applyBorder="1" applyAlignment="1">
      <alignment horizontal="center" vertical="center"/>
    </xf>
    <xf numFmtId="165" fontId="3" fillId="0" borderId="0" xfId="2" applyNumberFormat="1" applyFont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 vertical="center"/>
    </xf>
    <xf numFmtId="165" fontId="5" fillId="0" borderId="0" xfId="2" applyNumberFormat="1" applyFont="1" applyBorder="1" applyAlignment="1">
      <alignment horizontal="center"/>
    </xf>
    <xf numFmtId="165" fontId="3" fillId="0" borderId="17" xfId="2" applyNumberFormat="1" applyFont="1" applyBorder="1"/>
    <xf numFmtId="164" fontId="3" fillId="0" borderId="1" xfId="2" applyFont="1" applyBorder="1"/>
    <xf numFmtId="0" fontId="3" fillId="0" borderId="8" xfId="0" applyFont="1" applyFill="1" applyBorder="1"/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2" borderId="0" xfId="0" applyFont="1" applyFill="1"/>
    <xf numFmtId="0" fontId="19" fillId="2" borderId="0" xfId="0" applyFont="1" applyFill="1"/>
    <xf numFmtId="14" fontId="21" fillId="2" borderId="3" xfId="0" applyNumberFormat="1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164" fontId="22" fillId="0" borderId="0" xfId="2" applyFont="1"/>
    <xf numFmtId="164" fontId="22" fillId="0" borderId="0" xfId="2" applyFont="1" applyAlignment="1">
      <alignment horizontal="center" vertical="center"/>
    </xf>
    <xf numFmtId="0" fontId="33" fillId="0" borderId="0" xfId="0" applyFont="1"/>
    <xf numFmtId="0" fontId="2" fillId="0" borderId="0" xfId="0" applyFont="1" applyBorder="1"/>
    <xf numFmtId="165" fontId="2" fillId="0" borderId="0" xfId="2" applyNumberFormat="1" applyFont="1" applyBorder="1"/>
    <xf numFmtId="164" fontId="3" fillId="0" borderId="18" xfId="2" applyFont="1" applyBorder="1"/>
    <xf numFmtId="165" fontId="3" fillId="0" borderId="18" xfId="2" applyNumberFormat="1" applyFont="1" applyBorder="1"/>
    <xf numFmtId="165" fontId="2" fillId="0" borderId="17" xfId="2" applyNumberFormat="1" applyFont="1" applyBorder="1"/>
    <xf numFmtId="164" fontId="3" fillId="0" borderId="16" xfId="2" applyFont="1" applyBorder="1"/>
    <xf numFmtId="164" fontId="3" fillId="0" borderId="12" xfId="2" applyFont="1" applyBorder="1"/>
    <xf numFmtId="0" fontId="34" fillId="0" borderId="0" xfId="0" applyFont="1" applyAlignment="1">
      <alignment horizontal="center"/>
    </xf>
    <xf numFmtId="165" fontId="22" fillId="0" borderId="0" xfId="2" applyNumberFormat="1" applyFont="1"/>
    <xf numFmtId="165" fontId="23" fillId="0" borderId="0" xfId="2" applyNumberFormat="1" applyFont="1" applyFill="1" applyAlignment="1">
      <alignment horizontal="center" vertical="center"/>
    </xf>
    <xf numFmtId="167" fontId="34" fillId="0" borderId="0" xfId="0" applyNumberFormat="1" applyFont="1" applyAlignment="1">
      <alignment horizontal="center"/>
    </xf>
    <xf numFmtId="49" fontId="34" fillId="0" borderId="0" xfId="0" applyNumberFormat="1" applyFont="1"/>
    <xf numFmtId="10" fontId="22" fillId="0" borderId="0" xfId="1" applyNumberFormat="1" applyFont="1"/>
    <xf numFmtId="0" fontId="35" fillId="0" borderId="0" xfId="0" applyFont="1"/>
    <xf numFmtId="0" fontId="36" fillId="0" borderId="0" xfId="0" applyFont="1"/>
    <xf numFmtId="0" fontId="37" fillId="0" borderId="3" xfId="0" applyFont="1" applyBorder="1" applyAlignment="1">
      <alignment horizontal="center"/>
    </xf>
    <xf numFmtId="165" fontId="35" fillId="0" borderId="0" xfId="2" applyNumberFormat="1" applyFont="1"/>
    <xf numFmtId="164" fontId="35" fillId="0" borderId="0" xfId="2" applyFont="1"/>
    <xf numFmtId="165" fontId="35" fillId="0" borderId="16" xfId="2" applyNumberFormat="1" applyFont="1" applyBorder="1"/>
    <xf numFmtId="0" fontId="35" fillId="0" borderId="0" xfId="0" applyFont="1" applyBorder="1"/>
    <xf numFmtId="0" fontId="37" fillId="0" borderId="0" xfId="0" applyFont="1"/>
    <xf numFmtId="0" fontId="38" fillId="0" borderId="0" xfId="0" applyFont="1"/>
    <xf numFmtId="0" fontId="17" fillId="0" borderId="0" xfId="0" applyFont="1" applyAlignment="1"/>
    <xf numFmtId="165" fontId="35" fillId="0" borderId="0" xfId="2" applyNumberFormat="1" applyFont="1" applyBorder="1"/>
    <xf numFmtId="165" fontId="39" fillId="0" borderId="0" xfId="2" applyNumberFormat="1" applyFont="1"/>
    <xf numFmtId="165" fontId="35" fillId="0" borderId="0" xfId="0" applyNumberFormat="1" applyFont="1"/>
    <xf numFmtId="165" fontId="40" fillId="0" borderId="0" xfId="0" applyNumberFormat="1" applyFont="1"/>
    <xf numFmtId="167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165" fontId="7" fillId="2" borderId="0" xfId="2" applyNumberFormat="1" applyFont="1" applyFill="1"/>
    <xf numFmtId="165" fontId="25" fillId="2" borderId="0" xfId="2" applyNumberFormat="1" applyFont="1" applyFill="1"/>
    <xf numFmtId="165" fontId="19" fillId="0" borderId="0" xfId="2" applyNumberFormat="1" applyFont="1"/>
    <xf numFmtId="165" fontId="19" fillId="0" borderId="0" xfId="2" applyNumberFormat="1" applyFont="1" applyBorder="1"/>
    <xf numFmtId="165" fontId="36" fillId="0" borderId="1" xfId="2" applyNumberFormat="1" applyFont="1" applyBorder="1"/>
    <xf numFmtId="165" fontId="19" fillId="0" borderId="16" xfId="2" applyNumberFormat="1" applyFont="1" applyBorder="1"/>
    <xf numFmtId="165" fontId="41" fillId="0" borderId="0" xfId="2" applyNumberFormat="1" applyFont="1"/>
    <xf numFmtId="0" fontId="42" fillId="0" borderId="0" xfId="0" applyFont="1"/>
    <xf numFmtId="49" fontId="3" fillId="0" borderId="0" xfId="0" quotePrefix="1" applyNumberFormat="1" applyFont="1" applyFill="1" applyAlignment="1">
      <alignment horizontal="center"/>
    </xf>
    <xf numFmtId="0" fontId="43" fillId="2" borderId="3" xfId="0" applyFont="1" applyFill="1" applyBorder="1" applyAlignment="1">
      <alignment horizontal="center"/>
    </xf>
    <xf numFmtId="165" fontId="0" fillId="0" borderId="0" xfId="0" applyNumberFormat="1"/>
    <xf numFmtId="0" fontId="9" fillId="0" borderId="0" xfId="0" applyFont="1" applyBorder="1" applyAlignment="1"/>
    <xf numFmtId="0" fontId="27" fillId="0" borderId="0" xfId="0" applyFont="1"/>
    <xf numFmtId="0" fontId="27" fillId="0" borderId="0" xfId="0" applyFont="1" applyAlignment="1"/>
    <xf numFmtId="165" fontId="27" fillId="0" borderId="0" xfId="2" applyNumberFormat="1" applyFont="1" applyBorder="1" applyAlignment="1"/>
    <xf numFmtId="165" fontId="3" fillId="0" borderId="0" xfId="0" applyNumberFormat="1" applyFont="1"/>
    <xf numFmtId="165" fontId="3" fillId="0" borderId="0" xfId="0" applyNumberFormat="1" applyFont="1" applyAlignment="1">
      <alignment vertical="center"/>
    </xf>
    <xf numFmtId="164" fontId="0" fillId="0" borderId="0" xfId="2" applyFont="1"/>
    <xf numFmtId="164" fontId="0" fillId="0" borderId="0" xfId="0" applyNumberFormat="1"/>
    <xf numFmtId="165" fontId="18" fillId="0" borderId="5" xfId="2" applyNumberFormat="1" applyFont="1" applyBorder="1"/>
    <xf numFmtId="164" fontId="3" fillId="0" borderId="8" xfId="2" applyFont="1" applyBorder="1"/>
    <xf numFmtId="165" fontId="2" fillId="0" borderId="5" xfId="2" applyNumberFormat="1" applyFont="1" applyBorder="1"/>
    <xf numFmtId="165" fontId="2" fillId="0" borderId="8" xfId="2" applyNumberFormat="1" applyFont="1" applyBorder="1"/>
    <xf numFmtId="164" fontId="3" fillId="0" borderId="11" xfId="2" applyFont="1" applyBorder="1"/>
    <xf numFmtId="165" fontId="3" fillId="0" borderId="15" xfId="2" applyNumberFormat="1" applyFont="1" applyBorder="1"/>
    <xf numFmtId="165" fontId="3" fillId="0" borderId="1" xfId="2" applyNumberFormat="1" applyFont="1" applyBorder="1"/>
    <xf numFmtId="165" fontId="2" fillId="0" borderId="0" xfId="2" applyNumberFormat="1" applyFont="1" applyAlignment="1"/>
    <xf numFmtId="164" fontId="7" fillId="0" borderId="0" xfId="2" applyFont="1" applyAlignment="1">
      <alignment horizontal="center"/>
    </xf>
    <xf numFmtId="164" fontId="6" fillId="0" borderId="0" xfId="2" applyFont="1" applyAlignment="1">
      <alignment horizontal="center"/>
    </xf>
    <xf numFmtId="165" fontId="2" fillId="0" borderId="19" xfId="2" applyNumberFormat="1" applyFont="1" applyBorder="1"/>
    <xf numFmtId="164" fontId="2" fillId="0" borderId="0" xfId="2" applyNumberFormat="1" applyFont="1" applyBorder="1"/>
    <xf numFmtId="0" fontId="2" fillId="0" borderId="0" xfId="0" applyFont="1" applyAlignment="1">
      <alignment horizontal="left" vertical="center"/>
    </xf>
    <xf numFmtId="164" fontId="8" fillId="0" borderId="0" xfId="2" applyNumberFormat="1" applyFont="1" applyAlignment="1">
      <alignment horizontal="center" vertical="center"/>
    </xf>
    <xf numFmtId="164" fontId="3" fillId="0" borderId="0" xfId="2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165" fontId="3" fillId="0" borderId="0" xfId="2" applyNumberFormat="1" applyFont="1" applyFill="1" applyAlignment="1">
      <alignment vertical="center"/>
    </xf>
    <xf numFmtId="164" fontId="3" fillId="0" borderId="0" xfId="2" applyFont="1" applyAlignment="1">
      <alignment vertical="center"/>
    </xf>
    <xf numFmtId="165" fontId="3" fillId="0" borderId="0" xfId="2" applyNumberFormat="1" applyFont="1" applyFill="1"/>
    <xf numFmtId="164" fontId="3" fillId="0" borderId="0" xfId="2" applyFont="1" applyFill="1"/>
    <xf numFmtId="0" fontId="34" fillId="0" borderId="0" xfId="0" applyFont="1"/>
    <xf numFmtId="0" fontId="28" fillId="0" borderId="0" xfId="0" applyFont="1"/>
    <xf numFmtId="0" fontId="29" fillId="0" borderId="0" xfId="0" applyFont="1" applyFill="1"/>
    <xf numFmtId="0" fontId="30" fillId="0" borderId="0" xfId="0" applyFont="1" applyFill="1"/>
    <xf numFmtId="0" fontId="30" fillId="0" borderId="0" xfId="0" applyFont="1"/>
    <xf numFmtId="165" fontId="2" fillId="0" borderId="1" xfId="2" applyNumberFormat="1" applyFont="1" applyFill="1" applyBorder="1"/>
    <xf numFmtId="164" fontId="2" fillId="0" borderId="0" xfId="2" applyNumberFormat="1" applyFont="1" applyFill="1" applyBorder="1"/>
    <xf numFmtId="0" fontId="3" fillId="0" borderId="0" xfId="0" applyFont="1" applyAlignment="1">
      <alignment horizontal="left" vertical="center"/>
    </xf>
    <xf numFmtId="164" fontId="8" fillId="0" borderId="0" xfId="2" applyFont="1" applyAlignment="1">
      <alignment horizontal="center" vertical="center"/>
    </xf>
    <xf numFmtId="164" fontId="2" fillId="0" borderId="0" xfId="2" applyFont="1" applyFill="1" applyBorder="1"/>
    <xf numFmtId="164" fontId="2" fillId="0" borderId="0" xfId="2" applyFont="1" applyBorder="1"/>
    <xf numFmtId="165" fontId="2" fillId="0" borderId="0" xfId="2" applyNumberFormat="1" applyFont="1" applyFill="1" applyBorder="1"/>
    <xf numFmtId="164" fontId="45" fillId="0" borderId="0" xfId="2" applyFont="1"/>
    <xf numFmtId="0" fontId="37" fillId="0" borderId="0" xfId="0" applyFont="1" applyAlignment="1"/>
    <xf numFmtId="0" fontId="46" fillId="0" borderId="0" xfId="0" applyFont="1" applyAlignment="1"/>
    <xf numFmtId="0" fontId="43" fillId="0" borderId="0" xfId="0" applyFont="1" applyAlignment="1"/>
    <xf numFmtId="165" fontId="45" fillId="0" borderId="0" xfId="0" applyNumberFormat="1" applyFont="1"/>
    <xf numFmtId="0" fontId="45" fillId="0" borderId="0" xfId="0" applyFont="1"/>
    <xf numFmtId="0" fontId="45" fillId="0" borderId="0" xfId="0" applyFont="1" applyAlignment="1">
      <alignment vertical="center"/>
    </xf>
    <xf numFmtId="165" fontId="45" fillId="0" borderId="0" xfId="0" applyNumberFormat="1" applyFont="1" applyFill="1"/>
    <xf numFmtId="165" fontId="45" fillId="0" borderId="0" xfId="0" applyNumberFormat="1" applyFont="1" applyAlignment="1">
      <alignment vertical="center"/>
    </xf>
    <xf numFmtId="164" fontId="47" fillId="0" borderId="0" xfId="2" applyFont="1"/>
    <xf numFmtId="164" fontId="47" fillId="0" borderId="0" xfId="2" applyFont="1" applyAlignment="1">
      <alignment vertical="center"/>
    </xf>
    <xf numFmtId="165" fontId="48" fillId="0" borderId="0" xfId="2" applyNumberFormat="1" applyFont="1"/>
    <xf numFmtId="165" fontId="47" fillId="0" borderId="0" xfId="2" applyNumberFormat="1" applyFont="1"/>
    <xf numFmtId="0" fontId="45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65" fontId="27" fillId="0" borderId="0" xfId="2" applyNumberFormat="1" applyFont="1" applyAlignment="1">
      <alignment horizontal="center"/>
    </xf>
    <xf numFmtId="0" fontId="26" fillId="0" borderId="0" xfId="0" applyFont="1" applyAlignment="1"/>
    <xf numFmtId="0" fontId="31" fillId="0" borderId="0" xfId="0" applyFont="1" applyAlignment="1">
      <alignment horizontal="left"/>
    </xf>
    <xf numFmtId="165" fontId="44" fillId="3" borderId="0" xfId="0" applyNumberFormat="1" applyFont="1" applyFill="1"/>
    <xf numFmtId="164" fontId="22" fillId="0" borderId="0" xfId="2" applyNumberFormat="1" applyFont="1"/>
    <xf numFmtId="0" fontId="17" fillId="0" borderId="0" xfId="0" applyFont="1" applyAlignment="1">
      <alignment horizontal="center"/>
    </xf>
    <xf numFmtId="164" fontId="2" fillId="0" borderId="0" xfId="2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65" fontId="27" fillId="0" borderId="0" xfId="2" applyNumberFormat="1" applyFont="1" applyAlignment="1">
      <alignment horizontal="center"/>
    </xf>
    <xf numFmtId="0" fontId="26" fillId="0" borderId="0" xfId="0" applyFont="1" applyAlignment="1">
      <alignment horizontal="center"/>
    </xf>
    <xf numFmtId="165" fontId="31" fillId="0" borderId="0" xfId="2" applyNumberFormat="1" applyFont="1" applyFill="1" applyBorder="1" applyAlignment="1">
      <alignment horizontal="center"/>
    </xf>
    <xf numFmtId="164" fontId="2" fillId="0" borderId="0" xfId="2" applyFont="1" applyAlignment="1">
      <alignment horizontal="center"/>
    </xf>
    <xf numFmtId="0" fontId="31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165" fontId="2" fillId="0" borderId="0" xfId="2" applyNumberFormat="1" applyFont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49</xdr:row>
      <xdr:rowOff>152401</xdr:rowOff>
    </xdr:from>
    <xdr:to>
      <xdr:col>8</xdr:col>
      <xdr:colOff>0</xdr:colOff>
      <xdr:row>55</xdr:row>
      <xdr:rowOff>95251</xdr:rowOff>
    </xdr:to>
    <xdr:sp macro="" textlink="">
      <xdr:nvSpPr>
        <xdr:cNvPr id="2049" name="Rectangle 1"/>
        <xdr:cNvSpPr>
          <a:spLocks noChangeArrowheads="1"/>
        </xdr:cNvSpPr>
      </xdr:nvSpPr>
      <xdr:spPr bwMode="auto">
        <a:xfrm>
          <a:off x="1314450" y="8382001"/>
          <a:ext cx="34956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t-BR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t-BR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        </a:t>
          </a:r>
          <a:r>
            <a:rPr lang="pt-BR" sz="1100" b="1" i="1" strike="noStrike">
              <a:solidFill>
                <a:srgbClr val="000000"/>
              </a:solidFill>
              <a:latin typeface="Times New Roman"/>
              <a:cs typeface="Times New Roman"/>
            </a:rPr>
            <a:t>MRW Contadoria e Consultoria Empresarial Ltda</a:t>
          </a:r>
        </a:p>
        <a:p>
          <a:pPr algn="l" rtl="0">
            <a:defRPr sz="1000"/>
          </a:pPr>
          <a:r>
            <a:rPr lang="pt-BR" sz="1050" b="0" i="1" strike="noStrike">
              <a:solidFill>
                <a:srgbClr val="000000"/>
              </a:solidFill>
              <a:latin typeface="Times New Roman"/>
              <a:cs typeface="Times New Roman"/>
            </a:rPr>
            <a:t>               </a:t>
          </a:r>
          <a:r>
            <a:rPr lang="pt-BR" sz="900" b="0" i="1" strike="noStrike">
              <a:solidFill>
                <a:srgbClr val="000000"/>
              </a:solidFill>
              <a:latin typeface="Times New Roman"/>
              <a:cs typeface="Times New Roman"/>
            </a:rPr>
            <a:t>CRC MG No. 05783 - CNPJ/MF 86.922.127/0001-83</a:t>
          </a:r>
          <a:endParaRPr lang="pt-BR" sz="1050" b="0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BR" sz="1100" b="0" i="1" strike="noStrike">
              <a:solidFill>
                <a:srgbClr val="000000"/>
              </a:solidFill>
              <a:latin typeface="Times New Roman"/>
              <a:cs typeface="Times New Roman"/>
            </a:rPr>
            <a:t>                         Walter Parreiras de Araújo</a:t>
          </a:r>
        </a:p>
        <a:p>
          <a:pPr algn="l" rtl="0">
            <a:defRPr sz="1000"/>
          </a:pPr>
          <a:r>
            <a:rPr lang="pt-BR" sz="1100" b="0" i="1" strike="noStrike">
              <a:solidFill>
                <a:srgbClr val="000000"/>
              </a:solidFill>
              <a:latin typeface="Times New Roman"/>
              <a:cs typeface="Times New Roman"/>
            </a:rPr>
            <a:t>                             CRC MG No. 42.378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abilidade\RRWBalan&#231;os\Balan&#231;o2009\BALAN&#199;O%20OFICIAL\OFICIAL\Estrutura%20Balan&#231;o%202009%20(DF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vo"/>
      <sheetName val="Passivo"/>
      <sheetName val="DRE"/>
      <sheetName val="DMPL"/>
      <sheetName val="DVA"/>
      <sheetName val="DOAR 2009 "/>
      <sheetName val="Memória DOAR"/>
      <sheetName val="DFC09"/>
      <sheetName val="DFC08 (2)"/>
    </sheetNames>
    <sheetDataSet>
      <sheetData sheetId="0"/>
      <sheetData sheetId="1"/>
      <sheetData sheetId="2">
        <row r="34">
          <cell r="I34">
            <v>-3179002.6900000037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showGridLines="0" zoomScaleNormal="100" workbookViewId="0">
      <selection activeCell="N19" sqref="N19"/>
    </sheetView>
  </sheetViews>
  <sheetFormatPr defaultColWidth="9.1796875" defaultRowHeight="14.15" customHeight="1" x14ac:dyDescent="0.3"/>
  <cols>
    <col min="1" max="1" width="2.26953125" style="1" customWidth="1"/>
    <col min="2" max="2" width="2.1796875" style="1" customWidth="1"/>
    <col min="3" max="4" width="9.1796875" style="1"/>
    <col min="5" max="5" width="9.1796875" style="4"/>
    <col min="6" max="6" width="22" style="1" customWidth="1"/>
    <col min="7" max="7" width="5.26953125" style="87" customWidth="1"/>
    <col min="8" max="8" width="13.7265625" style="5" customWidth="1"/>
    <col min="9" max="9" width="2.1796875" style="5" customWidth="1"/>
    <col min="10" max="10" width="13.7265625" style="6" customWidth="1"/>
    <col min="11" max="11" width="9.1796875" style="1"/>
    <col min="12" max="12" width="12.26953125" style="1" bestFit="1" customWidth="1"/>
    <col min="13" max="13" width="11.1796875" style="1" bestFit="1" customWidth="1"/>
    <col min="14" max="14" width="9.81640625" style="1" bestFit="1" customWidth="1"/>
    <col min="15" max="16384" width="9.1796875" style="1"/>
  </cols>
  <sheetData>
    <row r="1" spans="1:14" ht="14.15" customHeight="1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</row>
    <row r="2" spans="1:14" ht="14.15" customHeight="1" x14ac:dyDescent="0.3">
      <c r="A2" s="225" t="s">
        <v>1</v>
      </c>
      <c r="B2" s="225"/>
      <c r="C2" s="225"/>
      <c r="D2" s="225"/>
      <c r="E2" s="225"/>
      <c r="F2" s="225"/>
      <c r="G2" s="225"/>
      <c r="H2" s="225"/>
      <c r="I2" s="225"/>
      <c r="J2" s="225"/>
    </row>
    <row r="3" spans="1:14" ht="14.15" customHeight="1" x14ac:dyDescent="0.3">
      <c r="A3" s="3"/>
    </row>
    <row r="4" spans="1:14" ht="14.15" customHeight="1" x14ac:dyDescent="0.3">
      <c r="A4" s="226" t="s">
        <v>95</v>
      </c>
      <c r="B4" s="226"/>
      <c r="C4" s="226"/>
      <c r="D4" s="226"/>
      <c r="E4" s="226"/>
      <c r="F4" s="226"/>
      <c r="G4" s="226"/>
      <c r="H4" s="226"/>
      <c r="I4" s="226"/>
      <c r="J4" s="226"/>
    </row>
    <row r="5" spans="1:14" ht="14.15" customHeight="1" x14ac:dyDescent="0.3">
      <c r="A5" s="224" t="s">
        <v>2</v>
      </c>
      <c r="B5" s="224"/>
      <c r="C5" s="224"/>
      <c r="D5" s="224"/>
      <c r="E5" s="224"/>
      <c r="F5" s="224"/>
      <c r="G5" s="224"/>
      <c r="H5" s="224"/>
      <c r="I5" s="224"/>
      <c r="J5" s="224"/>
    </row>
    <row r="6" spans="1:14" ht="14.15" customHeight="1" x14ac:dyDescent="0.3">
      <c r="H6" s="223" t="s">
        <v>3</v>
      </c>
      <c r="I6" s="223"/>
      <c r="J6" s="223"/>
    </row>
    <row r="7" spans="1:14" s="16" customFormat="1" ht="14.15" customHeight="1" x14ac:dyDescent="0.6">
      <c r="E7" s="19"/>
      <c r="G7" s="88"/>
      <c r="H7" s="67" t="s">
        <v>202</v>
      </c>
      <c r="I7" s="102"/>
      <c r="J7" s="67" t="s">
        <v>192</v>
      </c>
    </row>
    <row r="8" spans="1:14" s="16" customFormat="1" ht="14.15" customHeight="1" x14ac:dyDescent="0.3">
      <c r="A8" s="9" t="s">
        <v>4</v>
      </c>
      <c r="E8" s="19"/>
      <c r="G8" s="88"/>
      <c r="H8" s="81"/>
      <c r="I8" s="103"/>
      <c r="J8" s="81"/>
    </row>
    <row r="9" spans="1:14" ht="14.15" customHeight="1" x14ac:dyDescent="0.3">
      <c r="B9" s="9"/>
      <c r="G9" s="89"/>
      <c r="H9" s="82"/>
      <c r="I9" s="104"/>
      <c r="J9" s="82"/>
    </row>
    <row r="10" spans="1:14" s="16" customFormat="1" ht="14.15" customHeight="1" x14ac:dyDescent="0.25">
      <c r="B10" s="68" t="s">
        <v>107</v>
      </c>
      <c r="E10" s="19"/>
      <c r="G10" s="90"/>
      <c r="H10" s="130">
        <f>SUM(H11:H16)</f>
        <v>248529906.46000001</v>
      </c>
      <c r="I10" s="104"/>
      <c r="J10" s="130">
        <f>SUM(J11:J16)</f>
        <v>278862606.21999997</v>
      </c>
    </row>
    <row r="11" spans="1:14" ht="14.15" customHeight="1" x14ac:dyDescent="0.3">
      <c r="C11" s="1" t="s">
        <v>5</v>
      </c>
      <c r="G11" s="89"/>
      <c r="H11" s="80">
        <v>13500470.640000001</v>
      </c>
      <c r="I11" s="105"/>
      <c r="J11" s="80">
        <v>23590552.829999998</v>
      </c>
      <c r="L11" s="205">
        <f>H12+H11-J11-J12</f>
        <v>-33634691.149999976</v>
      </c>
      <c r="M11" s="206"/>
      <c r="N11" s="206"/>
    </row>
    <row r="12" spans="1:14" ht="14.15" customHeight="1" x14ac:dyDescent="0.3">
      <c r="C12" s="95" t="s">
        <v>91</v>
      </c>
      <c r="G12" s="89"/>
      <c r="H12" s="83">
        <v>220418335.91999999</v>
      </c>
      <c r="I12" s="105"/>
      <c r="J12" s="83">
        <v>243962944.88</v>
      </c>
      <c r="L12" s="205"/>
      <c r="M12" s="206"/>
      <c r="N12" s="206"/>
    </row>
    <row r="13" spans="1:14" ht="14.15" customHeight="1" x14ac:dyDescent="0.3">
      <c r="C13" s="1" t="s">
        <v>6</v>
      </c>
      <c r="G13" s="89"/>
      <c r="H13" s="80">
        <v>11781854.77</v>
      </c>
      <c r="I13" s="105"/>
      <c r="J13" s="80">
        <v>9337919.8699999992</v>
      </c>
      <c r="L13" s="205">
        <f>J13-H13</f>
        <v>-2443934.9000000004</v>
      </c>
      <c r="M13" s="206"/>
      <c r="N13" s="206"/>
    </row>
    <row r="14" spans="1:14" ht="14.15" customHeight="1" x14ac:dyDescent="0.3">
      <c r="C14" s="1" t="s">
        <v>7</v>
      </c>
      <c r="G14" s="89"/>
      <c r="H14" s="80">
        <v>110653.25</v>
      </c>
      <c r="I14" s="104"/>
      <c r="J14" s="80">
        <v>124303.01</v>
      </c>
      <c r="L14" s="205">
        <f>J14-H14</f>
        <v>13649.759999999995</v>
      </c>
      <c r="M14" s="206"/>
      <c r="N14" s="206"/>
    </row>
    <row r="15" spans="1:14" ht="14.15" customHeight="1" x14ac:dyDescent="0.3">
      <c r="C15" s="1" t="s">
        <v>8</v>
      </c>
      <c r="G15" s="91" t="s">
        <v>93</v>
      </c>
      <c r="H15" s="80">
        <v>420848.46</v>
      </c>
      <c r="I15" s="105"/>
      <c r="J15" s="80">
        <v>310598.98</v>
      </c>
      <c r="L15" s="205">
        <f>J15-H15</f>
        <v>-110249.48000000004</v>
      </c>
      <c r="M15" s="206"/>
      <c r="N15" s="206"/>
    </row>
    <row r="16" spans="1:14" ht="14.15" customHeight="1" x14ac:dyDescent="0.3">
      <c r="C16" s="1" t="s">
        <v>9</v>
      </c>
      <c r="G16" s="89"/>
      <c r="H16" s="80">
        <v>2297743.42</v>
      </c>
      <c r="I16" s="104"/>
      <c r="J16" s="80">
        <v>1536286.65</v>
      </c>
      <c r="L16" s="205">
        <f>J16-H16</f>
        <v>-761456.77</v>
      </c>
      <c r="M16" s="206"/>
      <c r="N16" s="206"/>
    </row>
    <row r="17" spans="2:15" ht="14.15" customHeight="1" x14ac:dyDescent="0.3">
      <c r="G17" s="89"/>
      <c r="H17" s="82"/>
      <c r="I17" s="104"/>
      <c r="J17" s="82"/>
      <c r="L17" s="206"/>
      <c r="M17" s="206"/>
      <c r="N17" s="206"/>
    </row>
    <row r="18" spans="2:15" s="16" customFormat="1" ht="14.15" customHeight="1" x14ac:dyDescent="0.25">
      <c r="B18" s="68" t="s">
        <v>108</v>
      </c>
      <c r="E18" s="19"/>
      <c r="G18" s="90"/>
      <c r="H18" s="130">
        <f>H20+H26+H32+H44</f>
        <v>41235894.99000001</v>
      </c>
      <c r="I18" s="104"/>
      <c r="J18" s="130">
        <f>J20+J26+J32+J44</f>
        <v>33487972.579999998</v>
      </c>
      <c r="L18" s="207"/>
      <c r="M18" s="207"/>
      <c r="N18" s="207"/>
    </row>
    <row r="19" spans="2:15" s="16" customFormat="1" ht="14.15" customHeight="1" x14ac:dyDescent="0.25">
      <c r="B19" s="68"/>
      <c r="E19" s="19"/>
      <c r="G19" s="90"/>
      <c r="H19" s="96"/>
      <c r="I19" s="104"/>
      <c r="J19" s="96"/>
      <c r="L19" s="207"/>
      <c r="M19" s="207"/>
      <c r="N19" s="207"/>
    </row>
    <row r="20" spans="2:15" s="16" customFormat="1" ht="14.15" customHeight="1" x14ac:dyDescent="0.3">
      <c r="B20" s="68"/>
      <c r="C20" s="68" t="s">
        <v>10</v>
      </c>
      <c r="E20" s="19"/>
      <c r="G20" s="90"/>
      <c r="H20" s="96">
        <f>SUM(H21:H24)</f>
        <v>23655360.450000003</v>
      </c>
      <c r="I20" s="104"/>
      <c r="J20" s="96">
        <f>SUM(J21:J24)</f>
        <v>18735880.890000001</v>
      </c>
      <c r="L20" s="208">
        <f>J20-H20</f>
        <v>-4919479.5600000024</v>
      </c>
      <c r="M20" s="207"/>
      <c r="N20" s="207"/>
    </row>
    <row r="21" spans="2:15" ht="14.15" customHeight="1" x14ac:dyDescent="0.3">
      <c r="B21" s="9"/>
      <c r="C21" s="1" t="s">
        <v>100</v>
      </c>
      <c r="G21" s="89"/>
      <c r="H21" s="80">
        <v>27410.12</v>
      </c>
      <c r="I21" s="104"/>
      <c r="J21" s="80">
        <v>438282.55</v>
      </c>
      <c r="L21" s="208">
        <f>J21-H21</f>
        <v>410872.43</v>
      </c>
      <c r="M21" s="206"/>
      <c r="N21" s="206"/>
    </row>
    <row r="22" spans="2:15" ht="14.15" customHeight="1" x14ac:dyDescent="0.3">
      <c r="C22" s="15" t="s">
        <v>101</v>
      </c>
      <c r="G22" s="91" t="s">
        <v>191</v>
      </c>
      <c r="H22" s="80">
        <v>3505676</v>
      </c>
      <c r="I22" s="105"/>
      <c r="J22" s="80">
        <v>3279422.39</v>
      </c>
      <c r="L22" s="208">
        <f>J22-H22</f>
        <v>-226253.60999999987</v>
      </c>
      <c r="M22" s="206"/>
      <c r="N22" s="206"/>
    </row>
    <row r="23" spans="2:15" ht="14.15" customHeight="1" x14ac:dyDescent="0.3">
      <c r="C23" s="95" t="s">
        <v>102</v>
      </c>
      <c r="G23" s="91" t="s">
        <v>11</v>
      </c>
      <c r="H23" s="83">
        <v>19843828.140000001</v>
      </c>
      <c r="I23" s="106"/>
      <c r="J23" s="83">
        <v>14742797.640000001</v>
      </c>
      <c r="L23" s="208">
        <f>J23-H23</f>
        <v>-5101030.5</v>
      </c>
      <c r="M23" s="206"/>
      <c r="N23" s="206"/>
    </row>
    <row r="24" spans="2:15" ht="14.15" customHeight="1" x14ac:dyDescent="0.3">
      <c r="C24" s="1" t="s">
        <v>103</v>
      </c>
      <c r="G24" s="91" t="s">
        <v>93</v>
      </c>
      <c r="H24" s="80">
        <v>278446.19</v>
      </c>
      <c r="I24" s="105"/>
      <c r="J24" s="80">
        <v>275378.31</v>
      </c>
      <c r="L24" s="208">
        <f>J24-H24</f>
        <v>-3067.8800000000047</v>
      </c>
      <c r="M24" s="206"/>
      <c r="N24" s="206"/>
    </row>
    <row r="25" spans="2:15" ht="14.15" customHeight="1" x14ac:dyDescent="0.3">
      <c r="C25" s="1" t="s">
        <v>266</v>
      </c>
      <c r="G25" s="89"/>
      <c r="H25" s="80"/>
      <c r="I25" s="104"/>
      <c r="J25" s="80"/>
      <c r="L25" s="206"/>
      <c r="M25" s="206"/>
      <c r="N25" s="206"/>
    </row>
    <row r="26" spans="2:15" s="16" customFormat="1" ht="14.15" customHeight="1" x14ac:dyDescent="0.3">
      <c r="C26" s="68" t="s">
        <v>12</v>
      </c>
      <c r="G26" s="92" t="s">
        <v>14</v>
      </c>
      <c r="H26" s="79">
        <f>SUM(H27:H30)</f>
        <v>7790486.9699999997</v>
      </c>
      <c r="I26" s="104"/>
      <c r="J26" s="79">
        <f>SUM(J27:J30)</f>
        <v>410164.11</v>
      </c>
      <c r="L26" s="209">
        <f>(SUM(J27:J28)-(SUM(H27:H28)))</f>
        <v>-5062.9200000000055</v>
      </c>
      <c r="M26" s="209">
        <f>H26-J26</f>
        <v>7380322.8599999994</v>
      </c>
      <c r="N26" s="207"/>
    </row>
    <row r="27" spans="2:15" ht="14.15" customHeight="1" x14ac:dyDescent="0.3">
      <c r="C27" s="1" t="s">
        <v>13</v>
      </c>
      <c r="H27" s="80">
        <v>19191.14</v>
      </c>
      <c r="I27" s="105"/>
      <c r="J27" s="80">
        <v>17269.14</v>
      </c>
      <c r="L27" s="209">
        <f>J27-H27</f>
        <v>-1922</v>
      </c>
      <c r="M27" s="209">
        <f t="shared" ref="M27:M48" si="0">H27-J27</f>
        <v>1922</v>
      </c>
      <c r="N27" s="206"/>
    </row>
    <row r="28" spans="2:15" ht="14.15" customHeight="1" x14ac:dyDescent="0.3">
      <c r="C28" s="1" t="s">
        <v>25</v>
      </c>
      <c r="G28" s="92"/>
      <c r="H28" s="80">
        <v>24570.04</v>
      </c>
      <c r="I28" s="105"/>
      <c r="J28" s="80">
        <v>21429.119999999999</v>
      </c>
      <c r="L28" s="209">
        <f>J28-H28</f>
        <v>-3140.9200000000019</v>
      </c>
      <c r="M28" s="209">
        <f t="shared" si="0"/>
        <v>3140.9200000000019</v>
      </c>
      <c r="N28" s="206"/>
    </row>
    <row r="29" spans="2:15" ht="14.15" customHeight="1" x14ac:dyDescent="0.3">
      <c r="C29" s="1" t="s">
        <v>15</v>
      </c>
      <c r="G29" s="92"/>
      <c r="H29" s="80">
        <f>618866.5+7400000</f>
        <v>8018866.5</v>
      </c>
      <c r="I29" s="105"/>
      <c r="J29" s="80">
        <v>618866.5</v>
      </c>
      <c r="L29" s="209">
        <f>J29-H29</f>
        <v>-7400000</v>
      </c>
      <c r="M29" s="209"/>
      <c r="N29" s="206"/>
    </row>
    <row r="30" spans="2:15" ht="14.15" customHeight="1" x14ac:dyDescent="0.3">
      <c r="C30" s="1" t="s">
        <v>17</v>
      </c>
      <c r="G30" s="92"/>
      <c r="H30" s="80">
        <v>-272140.71000000002</v>
      </c>
      <c r="I30" s="105"/>
      <c r="J30" s="84">
        <v>-247400.65</v>
      </c>
      <c r="L30" s="205">
        <f>J30-H30</f>
        <v>24740.060000000027</v>
      </c>
      <c r="M30" s="209">
        <f t="shared" si="0"/>
        <v>-24740.060000000027</v>
      </c>
      <c r="N30" s="206"/>
    </row>
    <row r="31" spans="2:15" ht="14.15" customHeight="1" x14ac:dyDescent="0.3">
      <c r="G31" s="89"/>
      <c r="H31" s="80"/>
      <c r="I31" s="104"/>
      <c r="J31" s="80"/>
      <c r="L31" s="206"/>
      <c r="M31" s="209">
        <f t="shared" si="0"/>
        <v>0</v>
      </c>
      <c r="N31" s="206"/>
    </row>
    <row r="32" spans="2:15" s="16" customFormat="1" ht="14.15" customHeight="1" x14ac:dyDescent="0.3">
      <c r="C32" s="68" t="s">
        <v>18</v>
      </c>
      <c r="G32" s="92" t="s">
        <v>16</v>
      </c>
      <c r="H32" s="79">
        <f>SUM(H33:H42)</f>
        <v>6474264.7300000004</v>
      </c>
      <c r="I32" s="104"/>
      <c r="J32" s="79">
        <f>SUM(J33:J42)</f>
        <v>12076235.23</v>
      </c>
      <c r="L32" s="209">
        <f>(SUM(J35:J41)-(SUM(H35:H41)))</f>
        <v>352635.44999999925</v>
      </c>
      <c r="M32" s="209">
        <f t="shared" si="0"/>
        <v>-5601970.5</v>
      </c>
      <c r="N32" s="207"/>
      <c r="O32" s="166"/>
    </row>
    <row r="33" spans="3:14" s="16" customFormat="1" ht="14.15" customHeight="1" x14ac:dyDescent="0.3">
      <c r="C33" s="1" t="s">
        <v>104</v>
      </c>
      <c r="H33" s="80">
        <v>300000</v>
      </c>
      <c r="I33" s="104"/>
      <c r="J33" s="80">
        <v>1488000</v>
      </c>
      <c r="L33" s="205">
        <f t="shared" ref="L33:L42" si="1">J33-H33</f>
        <v>1188000</v>
      </c>
      <c r="M33" s="209">
        <f t="shared" si="0"/>
        <v>-1188000</v>
      </c>
      <c r="N33" s="207"/>
    </row>
    <row r="34" spans="3:14" s="16" customFormat="1" ht="14.15" customHeight="1" x14ac:dyDescent="0.3">
      <c r="C34" s="1" t="s">
        <v>193</v>
      </c>
      <c r="G34" s="92"/>
      <c r="H34" s="80">
        <v>0</v>
      </c>
      <c r="I34" s="104"/>
      <c r="J34" s="80">
        <v>3438084.65</v>
      </c>
      <c r="L34" s="205">
        <f t="shared" si="1"/>
        <v>3438084.65</v>
      </c>
      <c r="M34" s="209">
        <f t="shared" si="0"/>
        <v>-3438084.65</v>
      </c>
      <c r="N34" s="207"/>
    </row>
    <row r="35" spans="3:14" ht="14.15" customHeight="1" x14ac:dyDescent="0.3">
      <c r="C35" s="1" t="s">
        <v>19</v>
      </c>
      <c r="G35" s="92"/>
      <c r="H35" s="80">
        <v>2607.86</v>
      </c>
      <c r="I35" s="104"/>
      <c r="J35" s="80">
        <v>2607.86</v>
      </c>
      <c r="L35" s="205">
        <f t="shared" si="1"/>
        <v>0</v>
      </c>
      <c r="M35" s="209">
        <f t="shared" si="0"/>
        <v>0</v>
      </c>
      <c r="N35" s="206"/>
    </row>
    <row r="36" spans="3:14" ht="14.15" customHeight="1" x14ac:dyDescent="0.3">
      <c r="C36" s="1" t="s">
        <v>20</v>
      </c>
      <c r="G36" s="92"/>
      <c r="H36" s="80">
        <v>68525.929999999993</v>
      </c>
      <c r="I36" s="104"/>
      <c r="J36" s="80">
        <v>16388.43</v>
      </c>
      <c r="L36" s="205">
        <f t="shared" si="1"/>
        <v>-52137.499999999993</v>
      </c>
      <c r="M36" s="209">
        <f t="shared" si="0"/>
        <v>52137.499999999993</v>
      </c>
      <c r="N36" s="206"/>
    </row>
    <row r="37" spans="3:14" ht="14.15" customHeight="1" x14ac:dyDescent="0.3">
      <c r="C37" s="1" t="s">
        <v>21</v>
      </c>
      <c r="G37" s="92"/>
      <c r="H37" s="80">
        <v>970461.44</v>
      </c>
      <c r="I37" s="104"/>
      <c r="J37" s="80">
        <v>976158.79</v>
      </c>
      <c r="L37" s="205">
        <f t="shared" si="1"/>
        <v>5697.3500000000931</v>
      </c>
      <c r="M37" s="209">
        <f t="shared" si="0"/>
        <v>-5697.3500000000931</v>
      </c>
      <c r="N37" s="206"/>
    </row>
    <row r="38" spans="3:14" ht="14.15" customHeight="1" x14ac:dyDescent="0.3">
      <c r="C38" s="15" t="s">
        <v>144</v>
      </c>
      <c r="G38" s="92"/>
      <c r="H38" s="80">
        <v>6916034.1699999999</v>
      </c>
      <c r="I38" s="104"/>
      <c r="J38" s="80">
        <v>7191247.6100000003</v>
      </c>
      <c r="L38" s="205">
        <f t="shared" si="1"/>
        <v>275213.44000000041</v>
      </c>
      <c r="M38" s="209">
        <f t="shared" si="0"/>
        <v>-275213.44000000041</v>
      </c>
      <c r="N38" s="206"/>
    </row>
    <row r="39" spans="3:14" ht="14.15" customHeight="1" x14ac:dyDescent="0.3">
      <c r="C39" s="1" t="s">
        <v>22</v>
      </c>
      <c r="G39" s="92"/>
      <c r="H39" s="80">
        <v>1161449.1499999999</v>
      </c>
      <c r="I39" s="104"/>
      <c r="J39" s="80">
        <v>1312324.33</v>
      </c>
      <c r="L39" s="205">
        <f t="shared" si="1"/>
        <v>150875.18000000017</v>
      </c>
      <c r="M39" s="209">
        <f t="shared" si="0"/>
        <v>-150875.18000000017</v>
      </c>
      <c r="N39" s="206"/>
    </row>
    <row r="40" spans="3:14" ht="14.15" customHeight="1" x14ac:dyDescent="0.3">
      <c r="C40" s="1" t="s">
        <v>23</v>
      </c>
      <c r="G40" s="92"/>
      <c r="H40" s="80">
        <v>1941326.7</v>
      </c>
      <c r="I40" s="104"/>
      <c r="J40" s="80">
        <v>1923945.68</v>
      </c>
      <c r="L40" s="205">
        <f t="shared" si="1"/>
        <v>-17381.020000000019</v>
      </c>
      <c r="M40" s="209">
        <f t="shared" si="0"/>
        <v>17381.020000000019</v>
      </c>
      <c r="N40" s="206"/>
    </row>
    <row r="41" spans="3:14" ht="14.15" customHeight="1" x14ac:dyDescent="0.3">
      <c r="C41" s="1" t="s">
        <v>24</v>
      </c>
      <c r="G41" s="92"/>
      <c r="H41" s="80">
        <v>341068.08</v>
      </c>
      <c r="I41" s="104"/>
      <c r="J41" s="80">
        <v>331436.08</v>
      </c>
      <c r="L41" s="205">
        <f t="shared" si="1"/>
        <v>-9632</v>
      </c>
      <c r="M41" s="209">
        <f t="shared" si="0"/>
        <v>9632</v>
      </c>
      <c r="N41" s="206"/>
    </row>
    <row r="42" spans="3:14" ht="14.15" customHeight="1" x14ac:dyDescent="0.3">
      <c r="C42" s="1" t="s">
        <v>17</v>
      </c>
      <c r="G42" s="92"/>
      <c r="H42" s="80">
        <v>-5227208.5999999996</v>
      </c>
      <c r="I42" s="104"/>
      <c r="J42" s="80">
        <v>-4603958.2</v>
      </c>
      <c r="L42" s="205">
        <f t="shared" si="1"/>
        <v>623250.39999999944</v>
      </c>
      <c r="M42" s="209">
        <f t="shared" si="0"/>
        <v>-623250.39999999944</v>
      </c>
      <c r="N42" s="206"/>
    </row>
    <row r="43" spans="3:14" ht="14.15" customHeight="1" x14ac:dyDescent="0.3">
      <c r="G43" s="89"/>
      <c r="H43" s="80"/>
      <c r="I43" s="104"/>
      <c r="J43" s="80"/>
      <c r="L43" s="206"/>
      <c r="M43" s="209">
        <f t="shared" si="0"/>
        <v>0</v>
      </c>
      <c r="N43" s="210"/>
    </row>
    <row r="44" spans="3:14" s="16" customFormat="1" ht="14.15" customHeight="1" x14ac:dyDescent="0.3">
      <c r="C44" s="68" t="s">
        <v>106</v>
      </c>
      <c r="G44" s="92" t="s">
        <v>156</v>
      </c>
      <c r="H44" s="79">
        <f>SUM(H45:H48)</f>
        <v>3315782.8400000008</v>
      </c>
      <c r="I44" s="107"/>
      <c r="J44" s="79">
        <f>SUM(J45:J48)</f>
        <v>2265692.3499999996</v>
      </c>
      <c r="L44" s="209">
        <f>((SUM(J45:J47)-SUM(H45:H47)))</f>
        <v>-1737465.4500000007</v>
      </c>
      <c r="M44" s="209">
        <f t="shared" si="0"/>
        <v>1050090.4900000012</v>
      </c>
      <c r="N44" s="211"/>
    </row>
    <row r="45" spans="3:14" s="16" customFormat="1" ht="14.15" customHeight="1" x14ac:dyDescent="0.25">
      <c r="C45" s="16" t="s">
        <v>26</v>
      </c>
      <c r="H45" s="80">
        <v>244685.06</v>
      </c>
      <c r="I45" s="105"/>
      <c r="J45" s="80">
        <v>244685.06</v>
      </c>
      <c r="L45" s="209">
        <f>J45-H45</f>
        <v>0</v>
      </c>
      <c r="M45" s="209">
        <f t="shared" si="0"/>
        <v>0</v>
      </c>
      <c r="N45" s="211"/>
    </row>
    <row r="46" spans="3:14" ht="14.15" customHeight="1" x14ac:dyDescent="0.3">
      <c r="C46" s="15" t="s">
        <v>105</v>
      </c>
      <c r="G46" s="92"/>
      <c r="H46" s="80">
        <v>10829.06</v>
      </c>
      <c r="I46" s="105"/>
      <c r="J46" s="80">
        <v>10829.06</v>
      </c>
      <c r="L46" s="209">
        <f>J46-H46</f>
        <v>0</v>
      </c>
      <c r="M46" s="209">
        <f t="shared" si="0"/>
        <v>0</v>
      </c>
      <c r="N46" s="210"/>
    </row>
    <row r="47" spans="3:14" ht="14.15" customHeight="1" x14ac:dyDescent="0.3">
      <c r="C47" s="1" t="s">
        <v>27</v>
      </c>
      <c r="G47" s="92"/>
      <c r="H47" s="80">
        <v>4563812.4800000004</v>
      </c>
      <c r="I47" s="105"/>
      <c r="J47" s="80">
        <v>2826347.03</v>
      </c>
      <c r="L47" s="209">
        <f>J47-H47</f>
        <v>-1737465.4500000007</v>
      </c>
      <c r="M47" s="209">
        <f t="shared" si="0"/>
        <v>1737465.4500000007</v>
      </c>
      <c r="N47" s="210"/>
    </row>
    <row r="48" spans="3:14" ht="14.15" customHeight="1" x14ac:dyDescent="0.3">
      <c r="C48" s="1" t="s">
        <v>28</v>
      </c>
      <c r="G48" s="92"/>
      <c r="H48" s="80">
        <v>-1503543.76</v>
      </c>
      <c r="I48" s="105"/>
      <c r="J48" s="80">
        <v>-816168.8</v>
      </c>
      <c r="L48" s="205">
        <f>J48-H48</f>
        <v>687374.96</v>
      </c>
      <c r="M48" s="209">
        <f t="shared" si="0"/>
        <v>-687374.96</v>
      </c>
      <c r="N48" s="210"/>
    </row>
    <row r="49" spans="2:14" ht="14.15" customHeight="1" x14ac:dyDescent="0.3">
      <c r="G49" s="89"/>
      <c r="H49" s="80"/>
      <c r="I49" s="105"/>
      <c r="J49" s="80"/>
      <c r="L49" s="206"/>
      <c r="M49" s="210"/>
      <c r="N49" s="210"/>
    </row>
    <row r="50" spans="2:14" s="19" customFormat="1" ht="14.15" customHeight="1" thickBot="1" x14ac:dyDescent="0.3">
      <c r="B50" s="68" t="s">
        <v>157</v>
      </c>
      <c r="C50" s="18"/>
      <c r="G50" s="93"/>
      <c r="H50" s="20">
        <f>SUM(H10+H18)</f>
        <v>289765801.45000005</v>
      </c>
      <c r="I50" s="104"/>
      <c r="J50" s="20">
        <f>SUM(J10+J18)</f>
        <v>312350578.79999995</v>
      </c>
      <c r="M50" s="119"/>
      <c r="N50" s="119"/>
    </row>
    <row r="51" spans="2:14" ht="14.15" customHeight="1" thickTop="1" x14ac:dyDescent="0.3">
      <c r="G51" s="89"/>
      <c r="H51" s="131"/>
      <c r="I51" s="10"/>
      <c r="J51" s="131"/>
      <c r="M51" s="118"/>
      <c r="N51" s="118"/>
    </row>
    <row r="52" spans="2:14" ht="14.15" customHeight="1" x14ac:dyDescent="0.3">
      <c r="B52" s="68" t="s">
        <v>158</v>
      </c>
      <c r="C52" s="18"/>
      <c r="G52" s="158" t="s">
        <v>268</v>
      </c>
      <c r="H52" s="148">
        <v>46108755</v>
      </c>
      <c r="I52" s="149"/>
      <c r="J52" s="148">
        <v>46108755</v>
      </c>
      <c r="M52" s="118"/>
      <c r="N52" s="118"/>
    </row>
    <row r="53" spans="2:14" ht="14.15" customHeight="1" x14ac:dyDescent="0.3">
      <c r="G53" s="89"/>
      <c r="H53" s="131"/>
      <c r="I53" s="10"/>
      <c r="J53" s="11"/>
      <c r="M53" s="118"/>
      <c r="N53" s="118"/>
    </row>
    <row r="54" spans="2:14" ht="14.15" customHeight="1" x14ac:dyDescent="0.3">
      <c r="G54" s="94"/>
      <c r="H54" s="77"/>
      <c r="I54" s="21"/>
    </row>
    <row r="55" spans="2:14" ht="14.15" customHeight="1" x14ac:dyDescent="0.3">
      <c r="C55" s="222" t="s">
        <v>161</v>
      </c>
      <c r="D55" s="222"/>
      <c r="E55" s="222"/>
      <c r="F55" s="222"/>
      <c r="G55" s="222"/>
      <c r="H55" s="222"/>
      <c r="I55" s="222"/>
      <c r="J55" s="222"/>
    </row>
    <row r="56" spans="2:14" ht="14.15" customHeight="1" x14ac:dyDescent="0.3">
      <c r="C56" s="23"/>
      <c r="G56" s="94"/>
      <c r="H56" s="77"/>
      <c r="I56" s="21"/>
    </row>
    <row r="57" spans="2:14" ht="14.15" customHeight="1" x14ac:dyDescent="0.3">
      <c r="C57" s="120"/>
      <c r="G57" s="94"/>
      <c r="H57" s="77"/>
      <c r="I57" s="21"/>
    </row>
    <row r="58" spans="2:14" ht="14.15" customHeight="1" x14ac:dyDescent="0.3">
      <c r="G58" s="94"/>
      <c r="H58" s="77"/>
      <c r="I58" s="21"/>
    </row>
    <row r="59" spans="2:14" ht="14.15" customHeight="1" x14ac:dyDescent="0.3">
      <c r="H59" s="77"/>
    </row>
    <row r="60" spans="2:14" ht="14.15" customHeight="1" x14ac:dyDescent="0.3">
      <c r="H60" s="77"/>
    </row>
    <row r="61" spans="2:14" ht="14.15" customHeight="1" x14ac:dyDescent="0.3">
      <c r="H61" s="77"/>
    </row>
    <row r="62" spans="2:14" ht="14.15" customHeight="1" x14ac:dyDescent="0.3">
      <c r="H62" s="77"/>
    </row>
    <row r="63" spans="2:14" ht="14.15" customHeight="1" x14ac:dyDescent="0.3">
      <c r="H63" s="77"/>
    </row>
    <row r="64" spans="2:14" ht="14.15" customHeight="1" x14ac:dyDescent="0.3">
      <c r="H64" s="77"/>
    </row>
    <row r="65" spans="8:8" ht="14.15" customHeight="1" x14ac:dyDescent="0.3">
      <c r="H65" s="77"/>
    </row>
    <row r="66" spans="8:8" ht="14.15" customHeight="1" x14ac:dyDescent="0.3">
      <c r="H66" s="77"/>
    </row>
    <row r="67" spans="8:8" ht="14.15" customHeight="1" x14ac:dyDescent="0.3">
      <c r="H67" s="77"/>
    </row>
    <row r="68" spans="8:8" ht="14.15" customHeight="1" x14ac:dyDescent="0.3">
      <c r="H68" s="77"/>
    </row>
    <row r="69" spans="8:8" ht="14.15" customHeight="1" x14ac:dyDescent="0.3">
      <c r="H69" s="77"/>
    </row>
    <row r="70" spans="8:8" ht="14.15" customHeight="1" x14ac:dyDescent="0.3">
      <c r="H70" s="77"/>
    </row>
    <row r="71" spans="8:8" ht="14.15" customHeight="1" x14ac:dyDescent="0.3">
      <c r="H71" s="77"/>
    </row>
    <row r="72" spans="8:8" ht="14.15" customHeight="1" x14ac:dyDescent="0.3">
      <c r="H72" s="77"/>
    </row>
    <row r="73" spans="8:8" ht="14.15" customHeight="1" x14ac:dyDescent="0.3">
      <c r="H73" s="77"/>
    </row>
    <row r="74" spans="8:8" ht="14.15" customHeight="1" x14ac:dyDescent="0.3">
      <c r="H74" s="77"/>
    </row>
    <row r="75" spans="8:8" ht="14.15" customHeight="1" x14ac:dyDescent="0.3">
      <c r="H75" s="77"/>
    </row>
    <row r="76" spans="8:8" ht="14.15" customHeight="1" x14ac:dyDescent="0.3">
      <c r="H76" s="77"/>
    </row>
    <row r="77" spans="8:8" ht="14.15" customHeight="1" x14ac:dyDescent="0.3">
      <c r="H77" s="77"/>
    </row>
    <row r="78" spans="8:8" ht="14.15" customHeight="1" x14ac:dyDescent="0.3">
      <c r="H78" s="77"/>
    </row>
    <row r="79" spans="8:8" ht="14.15" customHeight="1" x14ac:dyDescent="0.3">
      <c r="H79" s="77"/>
    </row>
    <row r="80" spans="8:8" ht="14.15" customHeight="1" x14ac:dyDescent="0.3">
      <c r="H80" s="77"/>
    </row>
    <row r="81" spans="8:8" ht="14.15" customHeight="1" x14ac:dyDescent="0.3">
      <c r="H81" s="77"/>
    </row>
    <row r="82" spans="8:8" ht="14.15" customHeight="1" x14ac:dyDescent="0.3">
      <c r="H82" s="77"/>
    </row>
    <row r="83" spans="8:8" ht="14.15" customHeight="1" x14ac:dyDescent="0.3">
      <c r="H83" s="77"/>
    </row>
    <row r="84" spans="8:8" ht="14.15" customHeight="1" x14ac:dyDescent="0.3">
      <c r="H84" s="77"/>
    </row>
    <row r="85" spans="8:8" ht="14.15" customHeight="1" x14ac:dyDescent="0.3">
      <c r="H85" s="77"/>
    </row>
    <row r="86" spans="8:8" ht="14.15" customHeight="1" x14ac:dyDescent="0.3">
      <c r="H86" s="77"/>
    </row>
    <row r="87" spans="8:8" ht="14.15" customHeight="1" x14ac:dyDescent="0.3">
      <c r="H87" s="77"/>
    </row>
    <row r="88" spans="8:8" ht="14.15" customHeight="1" x14ac:dyDescent="0.3">
      <c r="H88" s="77"/>
    </row>
    <row r="89" spans="8:8" ht="14.15" customHeight="1" x14ac:dyDescent="0.3">
      <c r="H89" s="77"/>
    </row>
    <row r="90" spans="8:8" ht="14.15" customHeight="1" x14ac:dyDescent="0.3">
      <c r="H90" s="77"/>
    </row>
    <row r="91" spans="8:8" ht="14.15" customHeight="1" x14ac:dyDescent="0.3">
      <c r="H91" s="77"/>
    </row>
    <row r="92" spans="8:8" ht="14.15" customHeight="1" x14ac:dyDescent="0.3">
      <c r="H92" s="77"/>
    </row>
    <row r="93" spans="8:8" ht="14.15" customHeight="1" x14ac:dyDescent="0.3">
      <c r="H93" s="77"/>
    </row>
    <row r="94" spans="8:8" ht="14.15" customHeight="1" x14ac:dyDescent="0.3">
      <c r="H94" s="77"/>
    </row>
    <row r="95" spans="8:8" ht="14.15" customHeight="1" x14ac:dyDescent="0.3">
      <c r="H95" s="77"/>
    </row>
    <row r="96" spans="8:8" ht="14.15" customHeight="1" x14ac:dyDescent="0.3">
      <c r="H96" s="77"/>
    </row>
    <row r="97" spans="8:8" ht="14.15" customHeight="1" x14ac:dyDescent="0.3">
      <c r="H97" s="77"/>
    </row>
    <row r="98" spans="8:8" ht="14.15" customHeight="1" x14ac:dyDescent="0.3">
      <c r="H98" s="77"/>
    </row>
    <row r="99" spans="8:8" ht="14.15" customHeight="1" x14ac:dyDescent="0.3">
      <c r="H99" s="77"/>
    </row>
    <row r="100" spans="8:8" ht="14.15" customHeight="1" x14ac:dyDescent="0.3">
      <c r="H100" s="77"/>
    </row>
    <row r="101" spans="8:8" ht="14.15" customHeight="1" x14ac:dyDescent="0.3">
      <c r="H101" s="77"/>
    </row>
    <row r="102" spans="8:8" ht="14.15" customHeight="1" x14ac:dyDescent="0.3">
      <c r="H102" s="77"/>
    </row>
    <row r="103" spans="8:8" ht="14.15" customHeight="1" x14ac:dyDescent="0.3">
      <c r="H103" s="77"/>
    </row>
    <row r="104" spans="8:8" ht="14.15" customHeight="1" x14ac:dyDescent="0.3">
      <c r="H104" s="77"/>
    </row>
    <row r="105" spans="8:8" ht="14.15" customHeight="1" x14ac:dyDescent="0.3">
      <c r="H105" s="77"/>
    </row>
    <row r="106" spans="8:8" ht="14.15" customHeight="1" x14ac:dyDescent="0.3">
      <c r="H106" s="77"/>
    </row>
    <row r="107" spans="8:8" ht="14.15" customHeight="1" x14ac:dyDescent="0.3">
      <c r="H107" s="77"/>
    </row>
    <row r="108" spans="8:8" ht="14.15" customHeight="1" x14ac:dyDescent="0.3">
      <c r="H108" s="77"/>
    </row>
    <row r="109" spans="8:8" ht="14.15" customHeight="1" x14ac:dyDescent="0.3">
      <c r="H109" s="77"/>
    </row>
    <row r="110" spans="8:8" ht="14.15" customHeight="1" x14ac:dyDescent="0.3">
      <c r="H110" s="77"/>
    </row>
    <row r="111" spans="8:8" ht="14.15" customHeight="1" x14ac:dyDescent="0.3">
      <c r="H111" s="77"/>
    </row>
    <row r="112" spans="8:8" ht="14.15" customHeight="1" x14ac:dyDescent="0.3">
      <c r="H112" s="77"/>
    </row>
    <row r="113" spans="8:8" ht="14.15" customHeight="1" x14ac:dyDescent="0.3">
      <c r="H113" s="77"/>
    </row>
    <row r="114" spans="8:8" ht="14.15" customHeight="1" x14ac:dyDescent="0.3">
      <c r="H114" s="77"/>
    </row>
    <row r="115" spans="8:8" ht="14.15" customHeight="1" x14ac:dyDescent="0.3">
      <c r="H115" s="77"/>
    </row>
    <row r="116" spans="8:8" ht="14.15" customHeight="1" x14ac:dyDescent="0.3">
      <c r="H116" s="77"/>
    </row>
    <row r="117" spans="8:8" ht="14.15" customHeight="1" x14ac:dyDescent="0.3">
      <c r="H117" s="77"/>
    </row>
    <row r="118" spans="8:8" ht="14.15" customHeight="1" x14ac:dyDescent="0.3">
      <c r="H118" s="77"/>
    </row>
    <row r="119" spans="8:8" ht="14.15" customHeight="1" x14ac:dyDescent="0.3">
      <c r="H119" s="77"/>
    </row>
    <row r="120" spans="8:8" ht="14.15" customHeight="1" x14ac:dyDescent="0.3">
      <c r="H120" s="77"/>
    </row>
    <row r="121" spans="8:8" ht="14.15" customHeight="1" x14ac:dyDescent="0.3">
      <c r="H121" s="77"/>
    </row>
    <row r="122" spans="8:8" ht="14.15" customHeight="1" x14ac:dyDescent="0.3">
      <c r="H122" s="77"/>
    </row>
    <row r="123" spans="8:8" ht="14.15" customHeight="1" x14ac:dyDescent="0.3">
      <c r="H123" s="77"/>
    </row>
    <row r="124" spans="8:8" ht="14.15" customHeight="1" x14ac:dyDescent="0.3">
      <c r="H124" s="77"/>
    </row>
    <row r="125" spans="8:8" ht="14.15" customHeight="1" x14ac:dyDescent="0.3">
      <c r="H125" s="77"/>
    </row>
  </sheetData>
  <mergeCells count="6">
    <mergeCell ref="C55:J55"/>
    <mergeCell ref="H6:J6"/>
    <mergeCell ref="A1:J1"/>
    <mergeCell ref="A2:J2"/>
    <mergeCell ref="A4:J4"/>
    <mergeCell ref="A5:J5"/>
  </mergeCells>
  <phoneticPr fontId="0" type="noConversion"/>
  <printOptions horizontalCentered="1"/>
  <pageMargins left="0.59055118110236227" right="0.59055118110236227" top="0.70866141732283472" bottom="0.59055118110236227" header="0.39370078740157483" footer="0.39370078740157483"/>
  <pageSetup paperSize="9" scale="95" orientation="portrait" r:id="rId1"/>
  <headerFooter alignWithMargins="0">
    <oddHeader>&amp;R&amp;12Pagina 923</oddHeader>
  </headerFooter>
  <ignoredErrors>
    <ignoredError sqref="L26 L32 L4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tabSelected="1" topLeftCell="A23" workbookViewId="0">
      <selection activeCell="H25" sqref="H25:H31"/>
    </sheetView>
  </sheetViews>
  <sheetFormatPr defaultColWidth="9.1796875" defaultRowHeight="14.15" customHeight="1" x14ac:dyDescent="0.3"/>
  <cols>
    <col min="1" max="2" width="3.26953125" style="1" customWidth="1"/>
    <col min="3" max="3" width="7" style="1" customWidth="1"/>
    <col min="4" max="5" width="9.1796875" style="1"/>
    <col min="6" max="6" width="18.7265625" style="1" customWidth="1"/>
    <col min="7" max="7" width="7.81640625" style="97" customWidth="1"/>
    <col min="8" max="8" width="13.7265625" style="1" customWidth="1"/>
    <col min="9" max="9" width="3" style="1" customWidth="1"/>
    <col min="10" max="10" width="13.7265625" style="6" customWidth="1"/>
    <col min="11" max="11" width="3.7265625" style="1" customWidth="1"/>
    <col min="12" max="12" width="12" style="1" hidden="1" customWidth="1"/>
    <col min="13" max="16384" width="9.1796875" style="1"/>
  </cols>
  <sheetData>
    <row r="1" spans="1:14" ht="14.15" customHeight="1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69"/>
    </row>
    <row r="2" spans="1:14" ht="14.15" customHeight="1" x14ac:dyDescent="0.3">
      <c r="A2" s="225" t="s">
        <v>1</v>
      </c>
      <c r="B2" s="225"/>
      <c r="C2" s="225"/>
      <c r="D2" s="225"/>
      <c r="E2" s="225"/>
      <c r="F2" s="225"/>
      <c r="G2" s="225"/>
      <c r="H2" s="225"/>
      <c r="I2" s="225"/>
      <c r="J2" s="225"/>
      <c r="K2" s="24"/>
    </row>
    <row r="3" spans="1:14" ht="14.15" customHeight="1" x14ac:dyDescent="0.3">
      <c r="A3" s="24"/>
      <c r="B3" s="25"/>
      <c r="C3" s="25"/>
      <c r="D3" s="25"/>
      <c r="E3" s="25"/>
      <c r="F3" s="25"/>
      <c r="H3" s="25"/>
      <c r="I3" s="25"/>
      <c r="J3" s="26"/>
      <c r="K3" s="25"/>
    </row>
    <row r="4" spans="1:14" ht="14.15" customHeight="1" x14ac:dyDescent="0.3">
      <c r="A4" s="226" t="s">
        <v>96</v>
      </c>
      <c r="B4" s="226"/>
      <c r="C4" s="226"/>
      <c r="D4" s="226"/>
      <c r="E4" s="226"/>
      <c r="F4" s="226"/>
      <c r="G4" s="226"/>
      <c r="H4" s="226"/>
      <c r="I4" s="226"/>
      <c r="J4" s="226"/>
      <c r="K4" s="70"/>
    </row>
    <row r="5" spans="1:14" ht="14.15" customHeight="1" x14ac:dyDescent="0.3">
      <c r="A5" s="224" t="s">
        <v>2</v>
      </c>
      <c r="B5" s="224"/>
      <c r="C5" s="224"/>
      <c r="D5" s="224"/>
      <c r="E5" s="224"/>
      <c r="F5" s="224"/>
      <c r="G5" s="224"/>
      <c r="H5" s="224"/>
      <c r="I5" s="224"/>
      <c r="J5" s="224"/>
      <c r="K5" s="69"/>
    </row>
    <row r="6" spans="1:14" ht="14.15" customHeight="1" x14ac:dyDescent="0.3">
      <c r="H6" s="231" t="s">
        <v>3</v>
      </c>
      <c r="I6" s="231"/>
      <c r="J6" s="231"/>
    </row>
    <row r="7" spans="1:14" ht="14.15" customHeight="1" x14ac:dyDescent="0.6">
      <c r="H7" s="67" t="s">
        <v>202</v>
      </c>
      <c r="I7" s="67"/>
      <c r="J7" s="67" t="s">
        <v>192</v>
      </c>
      <c r="K7" s="27"/>
    </row>
    <row r="8" spans="1:14" ht="14.15" customHeight="1" x14ac:dyDescent="0.3">
      <c r="A8" s="9" t="s">
        <v>29</v>
      </c>
      <c r="J8" s="1"/>
      <c r="K8" s="27"/>
    </row>
    <row r="9" spans="1:14" ht="14.15" customHeight="1" x14ac:dyDescent="0.3">
      <c r="B9" s="9"/>
      <c r="D9" s="9"/>
      <c r="J9" s="1"/>
      <c r="K9" s="7"/>
    </row>
    <row r="10" spans="1:14" ht="14.15" customHeight="1" x14ac:dyDescent="0.3">
      <c r="B10" s="9" t="s">
        <v>107</v>
      </c>
      <c r="D10" s="9"/>
      <c r="H10" s="86">
        <f>SUM(H11:H16)</f>
        <v>242202970.99000001</v>
      </c>
      <c r="I10" s="19"/>
      <c r="J10" s="86">
        <f>SUM(J11:J16)</f>
        <v>257150794.38</v>
      </c>
      <c r="K10" s="28"/>
    </row>
    <row r="11" spans="1:14" ht="14.15" customHeight="1" x14ac:dyDescent="0.3">
      <c r="B11" s="9"/>
      <c r="C11" s="1" t="s">
        <v>194</v>
      </c>
      <c r="D11" s="9"/>
      <c r="H11" s="83">
        <v>0</v>
      </c>
      <c r="I11" s="19"/>
      <c r="J11" s="83">
        <v>1350000</v>
      </c>
      <c r="K11" s="28"/>
      <c r="L11" s="205">
        <f>-J11</f>
        <v>-1350000</v>
      </c>
      <c r="M11" s="206"/>
      <c r="N11" s="206"/>
    </row>
    <row r="12" spans="1:14" ht="14.15" customHeight="1" x14ac:dyDescent="0.3">
      <c r="C12" s="1" t="s">
        <v>31</v>
      </c>
      <c r="D12" s="9"/>
      <c r="H12" s="11">
        <v>198508</v>
      </c>
      <c r="I12" s="29"/>
      <c r="J12" s="11">
        <v>184069.75</v>
      </c>
      <c r="K12" s="6"/>
      <c r="L12" s="205">
        <f>H12-J12</f>
        <v>14438.25</v>
      </c>
      <c r="M12" s="206"/>
      <c r="N12" s="206"/>
    </row>
    <row r="13" spans="1:14" ht="14.15" customHeight="1" x14ac:dyDescent="0.3">
      <c r="C13" s="1" t="s">
        <v>32</v>
      </c>
      <c r="D13" s="9"/>
      <c r="G13" s="98"/>
      <c r="H13" s="11">
        <f>58453.35+1878706.32</f>
        <v>1937159.6700000002</v>
      </c>
      <c r="I13" s="13"/>
      <c r="J13" s="11">
        <v>1889103.07</v>
      </c>
      <c r="K13" s="30"/>
      <c r="L13" s="205">
        <f t="shared" ref="L13:L19" si="0">H13-J13</f>
        <v>48056.600000000093</v>
      </c>
      <c r="M13" s="206"/>
      <c r="N13" s="206"/>
    </row>
    <row r="14" spans="1:14" ht="14.15" customHeight="1" x14ac:dyDescent="0.3">
      <c r="C14" s="1" t="s">
        <v>33</v>
      </c>
      <c r="D14" s="9"/>
      <c r="G14" s="98"/>
      <c r="H14" s="11">
        <v>1239876.47</v>
      </c>
      <c r="I14" s="13"/>
      <c r="J14" s="11">
        <v>1362904.33</v>
      </c>
      <c r="K14" s="6"/>
      <c r="L14" s="205">
        <f t="shared" si="0"/>
        <v>-123027.8600000001</v>
      </c>
      <c r="M14" s="206"/>
      <c r="N14" s="206"/>
    </row>
    <row r="15" spans="1:14" ht="14.15" customHeight="1" x14ac:dyDescent="0.3">
      <c r="C15" s="15" t="s">
        <v>34</v>
      </c>
      <c r="G15" s="98"/>
      <c r="H15" s="11">
        <v>416949.79</v>
      </c>
      <c r="I15" s="13"/>
      <c r="J15" s="11">
        <v>355481.33</v>
      </c>
      <c r="K15" s="6"/>
      <c r="L15" s="205">
        <v>61469</v>
      </c>
      <c r="M15" s="206"/>
      <c r="N15" s="206"/>
    </row>
    <row r="16" spans="1:14" ht="14.15" customHeight="1" x14ac:dyDescent="0.3">
      <c r="C16" s="15" t="s">
        <v>35</v>
      </c>
      <c r="G16" s="92" t="s">
        <v>30</v>
      </c>
      <c r="H16" s="100">
        <v>238410477.06</v>
      </c>
      <c r="I16" s="13"/>
      <c r="J16" s="100">
        <v>252009235.90000001</v>
      </c>
      <c r="K16" s="6"/>
      <c r="L16" s="205">
        <f t="shared" si="0"/>
        <v>-13598758.840000004</v>
      </c>
      <c r="M16" s="206"/>
      <c r="N16" s="206"/>
    </row>
    <row r="17" spans="2:14" ht="14.15" customHeight="1" x14ac:dyDescent="0.3">
      <c r="C17" s="31"/>
      <c r="G17" s="98"/>
      <c r="H17" s="11"/>
      <c r="I17" s="13"/>
      <c r="J17" s="11"/>
      <c r="K17" s="6"/>
      <c r="L17" s="205">
        <f t="shared" si="0"/>
        <v>0</v>
      </c>
      <c r="M17" s="206"/>
      <c r="N17" s="206"/>
    </row>
    <row r="18" spans="2:14" ht="14.15" customHeight="1" x14ac:dyDescent="0.3">
      <c r="B18" s="9" t="s">
        <v>108</v>
      </c>
      <c r="G18" s="98"/>
      <c r="H18" s="86">
        <f>SUM(H19:H22)</f>
        <v>19531387.010000002</v>
      </c>
      <c r="I18" s="32"/>
      <c r="J18" s="86">
        <f>SUM(J19:J22)</f>
        <v>25137537.390000001</v>
      </c>
      <c r="K18" s="28"/>
      <c r="L18" s="205">
        <f t="shared" si="0"/>
        <v>-5606150.379999999</v>
      </c>
      <c r="M18" s="206"/>
      <c r="N18" s="206"/>
    </row>
    <row r="19" spans="2:14" ht="14.15" customHeight="1" x14ac:dyDescent="0.3">
      <c r="B19" s="9"/>
      <c r="C19" s="15" t="s">
        <v>35</v>
      </c>
      <c r="G19" s="92" t="s">
        <v>30</v>
      </c>
      <c r="H19" s="85">
        <v>6601102.7800000003</v>
      </c>
      <c r="I19" s="17"/>
      <c r="J19" s="85">
        <v>13887398.050000001</v>
      </c>
      <c r="K19" s="28"/>
      <c r="L19" s="205">
        <f t="shared" si="0"/>
        <v>-7286295.2700000005</v>
      </c>
      <c r="M19" s="206"/>
      <c r="N19" s="206"/>
    </row>
    <row r="20" spans="2:14" ht="14.15" customHeight="1" x14ac:dyDescent="0.3">
      <c r="B20" s="9"/>
      <c r="C20" s="15" t="s">
        <v>195</v>
      </c>
      <c r="G20" s="158" t="s">
        <v>268</v>
      </c>
      <c r="H20" s="85">
        <v>2946316.95</v>
      </c>
      <c r="I20" s="17"/>
      <c r="J20" s="85">
        <v>1492425.67</v>
      </c>
      <c r="K20" s="28"/>
      <c r="L20" s="205">
        <f>H20-J20</f>
        <v>1453891.2800000003</v>
      </c>
      <c r="M20" s="206"/>
      <c r="N20" s="206"/>
    </row>
    <row r="21" spans="2:14" ht="14.15" customHeight="1" x14ac:dyDescent="0.3">
      <c r="B21" s="9"/>
      <c r="C21" s="1" t="s">
        <v>36</v>
      </c>
      <c r="G21" s="92" t="s">
        <v>191</v>
      </c>
      <c r="H21" s="14">
        <v>6478291.2800000003</v>
      </c>
      <c r="I21" s="17"/>
      <c r="J21" s="14">
        <v>6478291.2800000003</v>
      </c>
      <c r="K21" s="6"/>
      <c r="L21" s="205">
        <f>H21-J21</f>
        <v>0</v>
      </c>
      <c r="M21" s="206"/>
      <c r="N21" s="206"/>
    </row>
    <row r="22" spans="2:14" ht="14.15" customHeight="1" x14ac:dyDescent="0.3">
      <c r="C22" s="31" t="s">
        <v>37</v>
      </c>
      <c r="G22" s="92" t="s">
        <v>191</v>
      </c>
      <c r="H22" s="85">
        <v>3505676</v>
      </c>
      <c r="I22" s="17"/>
      <c r="J22" s="85">
        <v>3279422.39</v>
      </c>
      <c r="K22" s="6"/>
      <c r="L22" s="205">
        <f>H22-J22</f>
        <v>226253.60999999987</v>
      </c>
      <c r="M22" s="206"/>
      <c r="N22" s="206"/>
    </row>
    <row r="23" spans="2:14" ht="14.15" customHeight="1" x14ac:dyDescent="0.3">
      <c r="G23" s="98"/>
      <c r="H23" s="11"/>
      <c r="I23" s="13"/>
      <c r="J23" s="11"/>
      <c r="K23" s="6"/>
      <c r="L23" s="206"/>
      <c r="M23" s="206"/>
      <c r="N23" s="206"/>
    </row>
    <row r="24" spans="2:14" ht="14.15" customHeight="1" x14ac:dyDescent="0.3">
      <c r="B24" s="9" t="s">
        <v>109</v>
      </c>
      <c r="G24" s="98"/>
      <c r="H24" s="78">
        <f>SUM(H25:H31)</f>
        <v>28031443.449999999</v>
      </c>
      <c r="I24" s="32"/>
      <c r="J24" s="78">
        <f>SUM(J25:J30)</f>
        <v>30062247.029999997</v>
      </c>
      <c r="K24" s="28"/>
      <c r="L24" s="206"/>
      <c r="M24" s="206"/>
      <c r="N24" s="206"/>
    </row>
    <row r="25" spans="2:14" ht="14.15" customHeight="1" x14ac:dyDescent="0.3">
      <c r="C25" s="1" t="s">
        <v>38</v>
      </c>
      <c r="G25" s="92" t="s">
        <v>269</v>
      </c>
      <c r="H25" s="11">
        <v>13740732.699999999</v>
      </c>
      <c r="I25" s="13"/>
      <c r="J25" s="11">
        <f>8325743.44</f>
        <v>8325743.4400000004</v>
      </c>
      <c r="K25" s="6"/>
      <c r="L25" s="212">
        <f>J25-H25</f>
        <v>-5414989.2599999988</v>
      </c>
      <c r="M25" s="206"/>
      <c r="N25" s="206"/>
    </row>
    <row r="26" spans="2:14" ht="14.15" customHeight="1" x14ac:dyDescent="0.3">
      <c r="C26" s="15" t="s">
        <v>196</v>
      </c>
      <c r="G26" s="92" t="s">
        <v>269</v>
      </c>
      <c r="H26" s="11">
        <v>16011481.550000001</v>
      </c>
      <c r="I26" s="13"/>
      <c r="J26" s="11">
        <v>24603551.5</v>
      </c>
      <c r="K26" s="6"/>
      <c r="L26" s="212">
        <f>J26-H26</f>
        <v>8592069.9499999993</v>
      </c>
      <c r="M26" s="206"/>
      <c r="N26" s="206"/>
    </row>
    <row r="27" spans="2:14" ht="14.15" customHeight="1" x14ac:dyDescent="0.3">
      <c r="C27" s="15" t="s">
        <v>198</v>
      </c>
      <c r="G27" s="92" t="s">
        <v>269</v>
      </c>
      <c r="H27" s="11">
        <v>-4445792.21</v>
      </c>
      <c r="I27" s="13"/>
      <c r="J27" s="11">
        <f>DRE!K34</f>
        <v>-3179002.6900000037</v>
      </c>
      <c r="K27" s="6"/>
      <c r="L27" s="213"/>
      <c r="M27" s="206"/>
      <c r="N27" s="206"/>
    </row>
    <row r="28" spans="2:14" ht="14.15" customHeight="1" x14ac:dyDescent="0.3">
      <c r="C28" s="15" t="s">
        <v>39</v>
      </c>
      <c r="G28" s="92"/>
      <c r="H28" s="11">
        <v>0</v>
      </c>
      <c r="I28" s="13"/>
      <c r="J28" s="11">
        <v>0</v>
      </c>
      <c r="K28" s="6"/>
      <c r="L28" s="213"/>
      <c r="M28" s="206"/>
      <c r="N28" s="206"/>
    </row>
    <row r="29" spans="2:14" ht="14.15" customHeight="1" x14ac:dyDescent="0.3">
      <c r="C29" s="15" t="s">
        <v>40</v>
      </c>
      <c r="G29" s="92"/>
      <c r="H29" s="11">
        <v>0</v>
      </c>
      <c r="I29" s="13"/>
      <c r="J29" s="11">
        <v>0</v>
      </c>
      <c r="K29" s="6"/>
      <c r="L29" s="213"/>
      <c r="M29" s="206"/>
      <c r="N29" s="206"/>
    </row>
    <row r="30" spans="2:14" ht="14.15" customHeight="1" x14ac:dyDescent="0.3">
      <c r="C30" s="1" t="s">
        <v>41</v>
      </c>
      <c r="G30" s="98"/>
      <c r="H30" s="11">
        <f>287214.71</f>
        <v>287214.71000000002</v>
      </c>
      <c r="I30" s="13"/>
      <c r="J30" s="11">
        <v>311954.78000000003</v>
      </c>
      <c r="K30" s="6"/>
      <c r="L30" s="213"/>
      <c r="M30" s="206"/>
      <c r="N30" s="206"/>
    </row>
    <row r="31" spans="2:14" ht="14.15" customHeight="1" x14ac:dyDescent="0.3">
      <c r="C31" s="1" t="s">
        <v>267</v>
      </c>
      <c r="G31" s="92" t="s">
        <v>14</v>
      </c>
      <c r="H31" s="11">
        <f>2437806.7</f>
        <v>2437806.7000000002</v>
      </c>
      <c r="I31" s="13"/>
      <c r="J31" s="11"/>
      <c r="K31" s="6"/>
      <c r="L31" s="213"/>
      <c r="M31" s="206"/>
      <c r="N31" s="206"/>
    </row>
    <row r="32" spans="2:14" ht="14.15" customHeight="1" x14ac:dyDescent="0.3">
      <c r="G32" s="98"/>
      <c r="H32" s="11"/>
      <c r="I32" s="13"/>
      <c r="J32" s="11"/>
      <c r="K32" s="6"/>
      <c r="L32" s="213"/>
      <c r="M32" s="206"/>
      <c r="N32" s="206"/>
    </row>
    <row r="33" spans="1:14" ht="4.5" customHeight="1" x14ac:dyDescent="0.3">
      <c r="G33" s="98"/>
      <c r="H33" s="11"/>
      <c r="I33" s="13"/>
      <c r="J33" s="11"/>
      <c r="K33" s="6"/>
      <c r="L33" s="206"/>
      <c r="M33" s="206"/>
      <c r="N33" s="206"/>
    </row>
    <row r="34" spans="1:14" s="19" customFormat="1" ht="14.15" customHeight="1" thickBot="1" x14ac:dyDescent="0.35">
      <c r="B34" s="9" t="s">
        <v>159</v>
      </c>
      <c r="C34" s="18"/>
      <c r="D34" s="18"/>
      <c r="G34" s="93"/>
      <c r="H34" s="20">
        <f>SUM(H10+H18+H24)</f>
        <v>289765801.44999999</v>
      </c>
      <c r="I34" s="32"/>
      <c r="J34" s="20">
        <f>SUM(J10+J18+J24)</f>
        <v>312350578.79999995</v>
      </c>
      <c r="K34" s="33"/>
      <c r="L34" s="214"/>
      <c r="M34" s="214"/>
      <c r="N34" s="214"/>
    </row>
    <row r="35" spans="1:14" ht="14.15" customHeight="1" thickTop="1" x14ac:dyDescent="0.3">
      <c r="C35" s="9"/>
      <c r="D35" s="9"/>
      <c r="G35" s="98"/>
      <c r="H35" s="13"/>
      <c r="I35" s="13"/>
      <c r="J35" s="13"/>
      <c r="K35" s="7"/>
      <c r="L35" s="206"/>
      <c r="M35" s="206"/>
      <c r="N35" s="206"/>
    </row>
    <row r="36" spans="1:14" ht="14.15" customHeight="1" x14ac:dyDescent="0.3">
      <c r="B36" s="9" t="s">
        <v>160</v>
      </c>
      <c r="C36" s="9"/>
      <c r="D36" s="9"/>
      <c r="G36" s="158" t="s">
        <v>268</v>
      </c>
      <c r="H36" s="148">
        <v>46108755</v>
      </c>
      <c r="I36" s="149"/>
      <c r="J36" s="148">
        <v>46108755</v>
      </c>
      <c r="K36" s="7"/>
      <c r="L36" s="206"/>
      <c r="M36" s="206"/>
      <c r="N36" s="206"/>
    </row>
    <row r="37" spans="1:14" ht="14.15" customHeight="1" x14ac:dyDescent="0.3">
      <c r="C37" s="9"/>
      <c r="D37" s="9"/>
      <c r="G37" s="98"/>
      <c r="H37" s="132"/>
      <c r="I37" s="34"/>
      <c r="K37" s="7"/>
      <c r="L37" s="206"/>
      <c r="M37" s="206"/>
      <c r="N37" s="206"/>
    </row>
    <row r="38" spans="1:14" ht="14.15" customHeight="1" x14ac:dyDescent="0.3">
      <c r="C38" s="9"/>
      <c r="D38" s="9"/>
      <c r="G38" s="98"/>
      <c r="H38" s="34"/>
      <c r="I38" s="34"/>
      <c r="K38" s="7"/>
    </row>
    <row r="39" spans="1:14" ht="14.15" customHeight="1" x14ac:dyDescent="0.3">
      <c r="C39" s="9"/>
      <c r="D39" s="9"/>
      <c r="G39" s="98"/>
      <c r="H39" s="34"/>
      <c r="I39" s="34"/>
      <c r="K39" s="7"/>
    </row>
    <row r="40" spans="1:14" ht="14.15" customHeight="1" x14ac:dyDescent="0.3">
      <c r="G40" s="92"/>
      <c r="H40" s="34"/>
      <c r="I40" s="34"/>
      <c r="K40" s="35"/>
    </row>
    <row r="41" spans="1:14" ht="14.15" customHeight="1" x14ac:dyDescent="0.35">
      <c r="A41" s="229" t="s">
        <v>257</v>
      </c>
      <c r="B41" s="229"/>
      <c r="C41" s="229"/>
      <c r="D41" s="229"/>
      <c r="E41" s="229"/>
      <c r="F41" s="229"/>
      <c r="G41" s="229"/>
      <c r="H41" s="229"/>
      <c r="I41" s="229"/>
      <c r="J41" s="229"/>
      <c r="K41" s="229"/>
    </row>
    <row r="42" spans="1:14" ht="14.15" customHeight="1" x14ac:dyDescent="0.3">
      <c r="A42" s="230" t="s">
        <v>203</v>
      </c>
      <c r="B42" s="230"/>
      <c r="C42" s="230"/>
      <c r="D42" s="230"/>
      <c r="E42" s="230"/>
      <c r="F42" s="230"/>
      <c r="G42" s="230"/>
      <c r="H42" s="230"/>
      <c r="I42" s="230"/>
      <c r="J42" s="230"/>
      <c r="K42" s="230"/>
    </row>
    <row r="43" spans="1:14" ht="14.15" customHeight="1" x14ac:dyDescent="0.35">
      <c r="A43" s="218"/>
      <c r="B43" s="218"/>
      <c r="C43" s="218"/>
      <c r="D43" s="218"/>
      <c r="E43" s="218"/>
      <c r="F43" s="218"/>
      <c r="G43" s="218"/>
      <c r="H43" s="218"/>
      <c r="I43" s="218"/>
      <c r="J43" s="218"/>
      <c r="K43" s="218"/>
    </row>
    <row r="44" spans="1:14" ht="14.15" customHeight="1" x14ac:dyDescent="0.3">
      <c r="A44" s="227"/>
      <c r="B44" s="227"/>
      <c r="C44" s="227"/>
      <c r="D44" s="227"/>
      <c r="E44" s="227"/>
      <c r="F44" s="162"/>
      <c r="G44" s="92"/>
      <c r="H44" s="228"/>
      <c r="I44" s="228"/>
      <c r="J44" s="228"/>
      <c r="K44" s="228"/>
    </row>
    <row r="45" spans="1:14" ht="14.15" customHeight="1" x14ac:dyDescent="0.3">
      <c r="A45" s="216"/>
      <c r="B45" s="216"/>
      <c r="C45" s="216"/>
      <c r="D45" s="216"/>
      <c r="E45" s="216"/>
      <c r="F45" s="162"/>
      <c r="G45" s="92"/>
      <c r="H45" s="217"/>
      <c r="I45" s="217"/>
      <c r="J45" s="217"/>
      <c r="K45" s="217"/>
    </row>
    <row r="46" spans="1:14" ht="14.15" customHeight="1" x14ac:dyDescent="0.3">
      <c r="D46" s="9"/>
      <c r="G46" s="92"/>
      <c r="H46" s="34"/>
      <c r="I46" s="34"/>
      <c r="K46" s="7"/>
    </row>
    <row r="47" spans="1:14" ht="14.15" customHeight="1" x14ac:dyDescent="0.35">
      <c r="A47" s="229" t="s">
        <v>258</v>
      </c>
      <c r="B47" s="229"/>
      <c r="C47" s="229"/>
      <c r="D47" s="229"/>
      <c r="E47" s="229"/>
      <c r="F47" s="229"/>
      <c r="G47" s="229"/>
      <c r="H47" s="229"/>
      <c r="I47" s="229"/>
      <c r="J47" s="229"/>
      <c r="K47" s="229"/>
    </row>
    <row r="48" spans="1:14" ht="14.15" customHeight="1" x14ac:dyDescent="0.35">
      <c r="A48" s="219" t="s">
        <v>259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</row>
    <row r="49" spans="1:11" ht="14.15" customHeight="1" x14ac:dyDescent="0.35">
      <c r="A49" s="215"/>
      <c r="B49" s="215"/>
      <c r="C49" s="215"/>
      <c r="D49" s="215"/>
      <c r="E49" s="215"/>
      <c r="F49" s="215"/>
      <c r="G49" s="215"/>
      <c r="H49" s="215"/>
      <c r="I49" s="215"/>
      <c r="J49" s="215"/>
      <c r="K49" s="215"/>
    </row>
    <row r="50" spans="1:11" ht="14.15" customHeight="1" x14ac:dyDescent="0.35">
      <c r="A50" s="215"/>
      <c r="B50" s="215"/>
      <c r="C50" s="215"/>
      <c r="D50" s="215"/>
      <c r="E50" s="215"/>
      <c r="F50" s="215"/>
      <c r="G50" s="215"/>
      <c r="H50" s="215"/>
      <c r="I50" s="215"/>
      <c r="J50" s="215"/>
      <c r="K50" s="215"/>
    </row>
    <row r="51" spans="1:11" ht="14.15" customHeight="1" x14ac:dyDescent="0.35">
      <c r="A51" s="215"/>
      <c r="B51" s="215"/>
      <c r="C51" s="215"/>
      <c r="D51" s="215"/>
      <c r="E51" s="215"/>
      <c r="F51" s="215"/>
      <c r="G51" s="215"/>
      <c r="H51" s="215"/>
      <c r="I51" s="215"/>
      <c r="J51" s="215"/>
      <c r="K51" s="215"/>
    </row>
    <row r="52" spans="1:11" ht="14.15" customHeight="1" x14ac:dyDescent="0.3">
      <c r="D52" s="9"/>
      <c r="G52" s="92"/>
      <c r="H52" s="34"/>
      <c r="I52" s="34"/>
      <c r="K52" s="7"/>
    </row>
    <row r="53" spans="1:11" ht="14.15" customHeight="1" x14ac:dyDescent="0.3">
      <c r="D53" s="9"/>
      <c r="G53" s="92"/>
      <c r="H53" s="34"/>
      <c r="I53" s="34"/>
      <c r="K53" s="7"/>
    </row>
    <row r="54" spans="1:11" ht="14.15" customHeight="1" x14ac:dyDescent="0.3">
      <c r="D54" s="9"/>
      <c r="G54" s="92"/>
      <c r="H54" s="34"/>
      <c r="I54" s="34"/>
      <c r="K54" s="7"/>
    </row>
    <row r="55" spans="1:11" ht="14.15" customHeight="1" x14ac:dyDescent="0.3">
      <c r="D55" s="9"/>
      <c r="G55" s="92"/>
      <c r="H55" s="34"/>
      <c r="I55" s="34"/>
      <c r="K55" s="7"/>
    </row>
    <row r="56" spans="1:11" ht="14.15" customHeight="1" x14ac:dyDescent="0.3">
      <c r="D56" s="9"/>
      <c r="G56" s="92"/>
      <c r="H56" s="34"/>
      <c r="I56" s="34"/>
      <c r="K56" s="7"/>
    </row>
    <row r="57" spans="1:11" ht="14.15" customHeight="1" x14ac:dyDescent="0.3">
      <c r="A57" s="222" t="s">
        <v>161</v>
      </c>
      <c r="B57" s="222"/>
      <c r="C57" s="222"/>
      <c r="D57" s="222"/>
      <c r="E57" s="222"/>
      <c r="F57" s="222"/>
      <c r="G57" s="222"/>
      <c r="H57" s="222"/>
      <c r="I57" s="222"/>
      <c r="J57" s="222"/>
      <c r="K57" s="222"/>
    </row>
    <row r="58" spans="1:11" ht="14.15" customHeight="1" x14ac:dyDescent="0.3">
      <c r="D58" s="9"/>
      <c r="G58" s="98"/>
      <c r="H58" s="34"/>
      <c r="I58" s="34"/>
      <c r="K58" s="7"/>
    </row>
    <row r="59" spans="1:11" ht="14.15" customHeight="1" x14ac:dyDescent="0.3">
      <c r="D59" s="22"/>
      <c r="E59" s="22"/>
      <c r="F59" s="22"/>
      <c r="G59" s="99"/>
      <c r="H59" s="22"/>
      <c r="I59" s="22"/>
      <c r="J59" s="36"/>
      <c r="K59" s="7"/>
    </row>
    <row r="60" spans="1:11" ht="14.15" customHeight="1" x14ac:dyDescent="0.3">
      <c r="G60" s="1"/>
      <c r="J60" s="1"/>
    </row>
  </sheetData>
  <mergeCells count="11">
    <mergeCell ref="A1:J1"/>
    <mergeCell ref="A2:J2"/>
    <mergeCell ref="A4:J4"/>
    <mergeCell ref="A5:J5"/>
    <mergeCell ref="H6:J6"/>
    <mergeCell ref="A44:E44"/>
    <mergeCell ref="H44:K44"/>
    <mergeCell ref="A57:K57"/>
    <mergeCell ref="A41:K41"/>
    <mergeCell ref="A47:K47"/>
    <mergeCell ref="A42:K42"/>
  </mergeCells>
  <phoneticPr fontId="0" type="noConversion"/>
  <printOptions horizontalCentered="1"/>
  <pageMargins left="0.59055118110236227" right="0.59055118110236227" top="0.98425196850393704" bottom="0.55118110236220474" header="0.51181102362204722" footer="0.35433070866141736"/>
  <pageSetup paperSize="9" scale="95" orientation="portrait" r:id="rId1"/>
  <headerFooter alignWithMargins="0">
    <oddHeader>&amp;R&amp;12Pagina 924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topLeftCell="A40" workbookViewId="0">
      <selection activeCell="N19" sqref="N19"/>
    </sheetView>
  </sheetViews>
  <sheetFormatPr defaultColWidth="9.1796875" defaultRowHeight="14.25" customHeight="1" x14ac:dyDescent="0.3"/>
  <cols>
    <col min="1" max="1" width="2.81640625" style="1" customWidth="1"/>
    <col min="2" max="2" width="3.26953125" style="1" customWidth="1"/>
    <col min="3" max="3" width="3.54296875" style="1" customWidth="1"/>
    <col min="4" max="4" width="4.1796875" style="1" customWidth="1"/>
    <col min="5" max="6" width="9.1796875" style="1"/>
    <col min="7" max="7" width="7.26953125" style="1" customWidth="1"/>
    <col min="8" max="8" width="17" style="1" customWidth="1"/>
    <col min="9" max="9" width="13.7265625" style="74" customWidth="1"/>
    <col min="10" max="10" width="2.81640625" style="74" customWidth="1"/>
    <col min="11" max="11" width="13.7265625" style="6" customWidth="1"/>
    <col min="12" max="16384" width="9.1796875" style="1"/>
  </cols>
  <sheetData>
    <row r="1" spans="2:12" ht="14.25" customHeight="1" x14ac:dyDescent="0.3">
      <c r="B1" s="224" t="s">
        <v>0</v>
      </c>
      <c r="C1" s="224"/>
      <c r="D1" s="224"/>
      <c r="E1" s="224"/>
      <c r="F1" s="224"/>
      <c r="G1" s="224"/>
      <c r="H1" s="224"/>
      <c r="I1" s="224"/>
      <c r="J1" s="224"/>
      <c r="K1" s="224"/>
    </row>
    <row r="2" spans="2:12" ht="14.25" customHeight="1" x14ac:dyDescent="0.3">
      <c r="B2" s="224" t="s">
        <v>42</v>
      </c>
      <c r="C2" s="224"/>
      <c r="D2" s="224"/>
      <c r="E2" s="224"/>
      <c r="F2" s="224"/>
      <c r="G2" s="224"/>
      <c r="H2" s="224"/>
      <c r="I2" s="224"/>
      <c r="J2" s="224"/>
      <c r="K2" s="224"/>
    </row>
    <row r="3" spans="2:12" ht="14.25" customHeight="1" x14ac:dyDescent="0.3">
      <c r="C3" s="25"/>
      <c r="D3" s="25"/>
      <c r="E3" s="25"/>
      <c r="F3" s="25"/>
      <c r="G3" s="25"/>
      <c r="H3" s="25"/>
      <c r="I3" s="72"/>
      <c r="J3" s="72"/>
      <c r="K3" s="26"/>
    </row>
    <row r="4" spans="2:12" ht="14.25" customHeight="1" x14ac:dyDescent="0.3">
      <c r="B4" s="226" t="s">
        <v>200</v>
      </c>
      <c r="C4" s="226"/>
      <c r="D4" s="226"/>
      <c r="E4" s="226"/>
      <c r="F4" s="226"/>
      <c r="G4" s="226"/>
      <c r="H4" s="226"/>
      <c r="I4" s="226"/>
      <c r="J4" s="226"/>
      <c r="K4" s="226"/>
    </row>
    <row r="5" spans="2:12" ht="14.25" customHeight="1" x14ac:dyDescent="0.3">
      <c r="B5" s="224" t="s">
        <v>2</v>
      </c>
      <c r="C5" s="224"/>
      <c r="D5" s="224"/>
      <c r="E5" s="224"/>
      <c r="F5" s="224"/>
      <c r="G5" s="224"/>
      <c r="H5" s="224"/>
      <c r="I5" s="224"/>
      <c r="J5" s="224"/>
      <c r="K5" s="224"/>
    </row>
    <row r="6" spans="2:12" ht="14.25" customHeight="1" x14ac:dyDescent="0.3">
      <c r="I6" s="231" t="s">
        <v>43</v>
      </c>
      <c r="J6" s="231"/>
      <c r="K6" s="231"/>
    </row>
    <row r="7" spans="2:12" ht="14.25" customHeight="1" x14ac:dyDescent="0.6">
      <c r="C7" s="9"/>
      <c r="I7" s="67" t="s">
        <v>202</v>
      </c>
      <c r="J7" s="73"/>
      <c r="K7" s="67" t="s">
        <v>192</v>
      </c>
    </row>
    <row r="8" spans="2:12" ht="14.25" customHeight="1" x14ac:dyDescent="0.3">
      <c r="C8" s="9"/>
      <c r="I8" s="6"/>
    </row>
    <row r="9" spans="2:12" ht="14.25" customHeight="1" x14ac:dyDescent="0.6">
      <c r="C9" s="9" t="s">
        <v>44</v>
      </c>
      <c r="I9" s="12">
        <f>I10</f>
        <v>24397437.949999999</v>
      </c>
      <c r="K9" s="12">
        <f>K10</f>
        <v>24328758.629999999</v>
      </c>
    </row>
    <row r="10" spans="2:12" ht="14.25" customHeight="1" x14ac:dyDescent="0.3">
      <c r="D10" s="1" t="s">
        <v>45</v>
      </c>
      <c r="E10" s="31"/>
      <c r="I10" s="6">
        <v>24397437.949999999</v>
      </c>
      <c r="K10" s="6">
        <v>24328758.629999999</v>
      </c>
      <c r="L10" s="133"/>
    </row>
    <row r="11" spans="2:12" ht="14.25" customHeight="1" x14ac:dyDescent="0.3">
      <c r="I11" s="6"/>
      <c r="L11" s="133"/>
    </row>
    <row r="12" spans="2:12" ht="14.25" customHeight="1" x14ac:dyDescent="0.6">
      <c r="C12" s="37" t="s">
        <v>46</v>
      </c>
      <c r="I12" s="12">
        <f>SUM(I13:I16)</f>
        <v>-29490090.270000003</v>
      </c>
      <c r="K12" s="12">
        <f>SUM(K13:K16)</f>
        <v>28363668.040000003</v>
      </c>
      <c r="L12" s="133"/>
    </row>
    <row r="13" spans="2:12" ht="14.25" customHeight="1" x14ac:dyDescent="0.3">
      <c r="C13" s="31"/>
      <c r="D13" s="31" t="s">
        <v>47</v>
      </c>
      <c r="I13" s="6">
        <v>-17476662.780000001</v>
      </c>
      <c r="K13" s="6">
        <v>17668293.48</v>
      </c>
      <c r="L13" s="133"/>
    </row>
    <row r="14" spans="2:12" ht="14.25" customHeight="1" x14ac:dyDescent="0.3">
      <c r="D14" s="31" t="s">
        <v>48</v>
      </c>
      <c r="I14" s="6">
        <v>-11481709.609999999</v>
      </c>
      <c r="K14" s="6">
        <v>10462215.33</v>
      </c>
      <c r="L14" s="133"/>
    </row>
    <row r="15" spans="2:12" ht="14.25" customHeight="1" x14ac:dyDescent="0.3">
      <c r="D15" s="15" t="s">
        <v>49</v>
      </c>
      <c r="I15" s="6">
        <v>-158444.96</v>
      </c>
      <c r="K15" s="6">
        <v>195739.44</v>
      </c>
      <c r="L15" s="133"/>
    </row>
    <row r="16" spans="2:12" ht="14.25" customHeight="1" x14ac:dyDescent="0.3">
      <c r="D16" s="15" t="s">
        <v>50</v>
      </c>
      <c r="H16" s="13"/>
      <c r="I16" s="11">
        <v>-373272.92</v>
      </c>
      <c r="J16" s="75"/>
      <c r="K16" s="11">
        <v>37419.79</v>
      </c>
      <c r="L16" s="133"/>
    </row>
    <row r="17" spans="2:12" ht="14.25" customHeight="1" x14ac:dyDescent="0.3">
      <c r="E17" s="15"/>
      <c r="I17" s="6"/>
      <c r="L17" s="133"/>
    </row>
    <row r="18" spans="2:12" ht="14.25" customHeight="1" x14ac:dyDescent="0.6">
      <c r="C18" s="9" t="s">
        <v>51</v>
      </c>
      <c r="E18" s="15"/>
      <c r="H18" s="38"/>
      <c r="I18" s="12">
        <v>780237.64</v>
      </c>
      <c r="K18" s="12">
        <v>13443.32</v>
      </c>
      <c r="L18" s="133"/>
    </row>
    <row r="19" spans="2:12" ht="14.25" customHeight="1" x14ac:dyDescent="0.3">
      <c r="E19" s="15"/>
      <c r="I19" s="6"/>
      <c r="L19" s="133"/>
    </row>
    <row r="20" spans="2:12" ht="14.25" customHeight="1" x14ac:dyDescent="0.6">
      <c r="C20" s="9" t="s">
        <v>52</v>
      </c>
      <c r="E20" s="39"/>
      <c r="I20" s="12">
        <f>SUM(I21:I25)</f>
        <v>-133935.1299999998</v>
      </c>
      <c r="K20" s="12">
        <f>SUM(K21:K25)</f>
        <v>1357340.9800000004</v>
      </c>
      <c r="L20" s="133"/>
    </row>
    <row r="21" spans="2:12" ht="14.25" customHeight="1" x14ac:dyDescent="0.3">
      <c r="D21" s="15" t="s">
        <v>53</v>
      </c>
      <c r="I21" s="6">
        <v>-1225355.8500000001</v>
      </c>
      <c r="K21" s="6">
        <v>-514155.5</v>
      </c>
      <c r="L21" s="133"/>
    </row>
    <row r="22" spans="2:12" ht="14.25" customHeight="1" x14ac:dyDescent="0.3">
      <c r="D22" s="15" t="s">
        <v>54</v>
      </c>
      <c r="I22" s="6">
        <v>-1465391.45</v>
      </c>
      <c r="K22" s="6">
        <v>-1492425.67</v>
      </c>
      <c r="L22" s="133"/>
    </row>
    <row r="23" spans="2:12" ht="14.25" customHeight="1" x14ac:dyDescent="0.3">
      <c r="D23" s="31" t="s">
        <v>55</v>
      </c>
      <c r="I23" s="6">
        <v>2444769.48</v>
      </c>
      <c r="K23" s="6">
        <v>2619453.9900000002</v>
      </c>
      <c r="L23" s="133"/>
    </row>
    <row r="24" spans="2:12" ht="14.25" customHeight="1" x14ac:dyDescent="0.3">
      <c r="D24" s="31" t="s">
        <v>56</v>
      </c>
      <c r="I24" s="6">
        <v>-33137.839999999997</v>
      </c>
      <c r="K24" s="6">
        <v>-1900753.27</v>
      </c>
      <c r="L24" s="133"/>
    </row>
    <row r="25" spans="2:12" ht="14.25" customHeight="1" x14ac:dyDescent="0.3">
      <c r="D25" s="1" t="s">
        <v>57</v>
      </c>
      <c r="I25" s="6">
        <v>145180.53</v>
      </c>
      <c r="K25" s="6">
        <v>2645221.4300000002</v>
      </c>
      <c r="L25" s="133"/>
    </row>
    <row r="26" spans="2:12" ht="14.25" customHeight="1" x14ac:dyDescent="0.3">
      <c r="E26" s="31"/>
      <c r="I26" s="6"/>
      <c r="L26" s="133"/>
    </row>
    <row r="27" spans="2:12" ht="14.25" customHeight="1" x14ac:dyDescent="0.6">
      <c r="B27" s="9" t="s">
        <v>58</v>
      </c>
      <c r="E27" s="31"/>
      <c r="I27" s="12">
        <f>SUM(I9+I12+I18+I20)</f>
        <v>-4446349.8100000042</v>
      </c>
      <c r="K27" s="12">
        <f>SUM(K9-K12+K18+K20)</f>
        <v>-2664125.1100000036</v>
      </c>
      <c r="L27" s="133"/>
    </row>
    <row r="28" spans="2:12" ht="14.25" customHeight="1" x14ac:dyDescent="0.3">
      <c r="E28" s="31"/>
      <c r="I28" s="6"/>
      <c r="L28" s="133"/>
    </row>
    <row r="29" spans="2:12" ht="14.25" customHeight="1" x14ac:dyDescent="0.3">
      <c r="C29" s="1" t="s">
        <v>59</v>
      </c>
      <c r="E29" s="31"/>
      <c r="I29" s="6">
        <v>-13597.4</v>
      </c>
      <c r="K29" s="6">
        <v>-524447.57999999996</v>
      </c>
      <c r="L29" s="133"/>
    </row>
    <row r="30" spans="2:12" ht="14.25" customHeight="1" x14ac:dyDescent="0.3">
      <c r="C30" s="1" t="s">
        <v>60</v>
      </c>
      <c r="E30" s="31"/>
      <c r="I30" s="6">
        <v>14155</v>
      </c>
      <c r="K30" s="6">
        <v>9570</v>
      </c>
      <c r="L30" s="133"/>
    </row>
    <row r="31" spans="2:12" ht="14.25" customHeight="1" x14ac:dyDescent="0.3">
      <c r="C31" s="9"/>
      <c r="E31" s="31"/>
      <c r="I31" s="6"/>
      <c r="L31" s="133"/>
    </row>
    <row r="32" spans="2:12" ht="14.25" customHeight="1" x14ac:dyDescent="0.6">
      <c r="B32" s="9" t="s">
        <v>94</v>
      </c>
      <c r="C32" s="9"/>
      <c r="E32" s="31"/>
      <c r="I32" s="12">
        <f>I29+I30</f>
        <v>557.60000000000036</v>
      </c>
      <c r="K32" s="12">
        <f>K29+K30</f>
        <v>-514877.57999999996</v>
      </c>
      <c r="L32" s="133"/>
    </row>
    <row r="33" spans="1:12" ht="14.25" customHeight="1" x14ac:dyDescent="0.3">
      <c r="E33" s="31"/>
      <c r="I33" s="6"/>
      <c r="L33" s="133"/>
    </row>
    <row r="34" spans="1:12" ht="14.25" customHeight="1" thickBot="1" x14ac:dyDescent="0.35">
      <c r="B34" s="3" t="s">
        <v>201</v>
      </c>
      <c r="E34" s="31"/>
      <c r="I34" s="40">
        <f>I27+I32</f>
        <v>-4445792.2100000046</v>
      </c>
      <c r="K34" s="40">
        <f>K27+K32</f>
        <v>-3179002.6900000037</v>
      </c>
      <c r="L34" s="133"/>
    </row>
    <row r="35" spans="1:12" ht="14.25" customHeight="1" thickTop="1" x14ac:dyDescent="0.3">
      <c r="E35" s="31"/>
      <c r="I35" s="6"/>
      <c r="L35" s="133"/>
    </row>
    <row r="36" spans="1:12" ht="14.25" customHeight="1" x14ac:dyDescent="0.3">
      <c r="B36" s="9" t="s">
        <v>61</v>
      </c>
      <c r="I36" s="6"/>
      <c r="K36" s="6">
        <v>0</v>
      </c>
      <c r="L36" s="133"/>
    </row>
    <row r="37" spans="1:12" ht="14.25" customHeight="1" x14ac:dyDescent="0.3">
      <c r="B37" s="9" t="s">
        <v>62</v>
      </c>
      <c r="I37" s="6"/>
      <c r="K37" s="6">
        <v>0</v>
      </c>
      <c r="L37" s="133"/>
    </row>
    <row r="38" spans="1:12" ht="14.25" customHeight="1" x14ac:dyDescent="0.3">
      <c r="I38" s="6"/>
      <c r="L38" s="133"/>
    </row>
    <row r="39" spans="1:12" ht="14.25" customHeight="1" thickBot="1" x14ac:dyDescent="0.35">
      <c r="B39" s="9" t="s">
        <v>63</v>
      </c>
      <c r="D39" s="9"/>
      <c r="E39" s="9"/>
      <c r="F39" s="9"/>
      <c r="G39" s="9"/>
      <c r="H39" s="9"/>
      <c r="I39" s="40">
        <f>I34</f>
        <v>-4445792.2100000046</v>
      </c>
      <c r="J39" s="76"/>
      <c r="K39" s="40">
        <f>K34</f>
        <v>-3179002.6900000037</v>
      </c>
      <c r="L39" s="133"/>
    </row>
    <row r="40" spans="1:12" ht="14.25" customHeight="1" thickTop="1" x14ac:dyDescent="0.3"/>
    <row r="44" spans="1:12" ht="14.25" customHeight="1" x14ac:dyDescent="0.35">
      <c r="A44" s="229" t="s">
        <v>257</v>
      </c>
      <c r="B44" s="229"/>
      <c r="C44" s="229"/>
      <c r="D44" s="229"/>
      <c r="E44" s="229"/>
      <c r="F44" s="229"/>
      <c r="G44" s="229"/>
      <c r="H44" s="229"/>
      <c r="I44" s="229"/>
      <c r="J44" s="229"/>
      <c r="K44" s="229"/>
      <c r="L44" s="229"/>
    </row>
    <row r="45" spans="1:12" ht="14.25" customHeight="1" x14ac:dyDescent="0.3">
      <c r="A45" s="232" t="s">
        <v>203</v>
      </c>
      <c r="B45" s="232"/>
      <c r="C45" s="232"/>
      <c r="D45" s="232"/>
      <c r="E45" s="232"/>
      <c r="F45" s="232"/>
      <c r="G45" s="232"/>
      <c r="H45" s="232"/>
      <c r="I45" s="232"/>
      <c r="J45" s="232"/>
      <c r="K45" s="232"/>
      <c r="L45" s="232"/>
    </row>
    <row r="46" spans="1:12" ht="14.25" customHeight="1" x14ac:dyDescent="0.35">
      <c r="A46" s="218"/>
      <c r="B46" s="218"/>
      <c r="C46" s="218"/>
      <c r="D46" s="218"/>
      <c r="E46" s="218"/>
      <c r="F46" s="218"/>
      <c r="G46" s="218"/>
      <c r="H46" s="218"/>
      <c r="I46" s="218"/>
      <c r="J46" s="218"/>
      <c r="K46" s="218"/>
      <c r="L46" s="218"/>
    </row>
    <row r="47" spans="1:12" ht="14.25" customHeight="1" x14ac:dyDescent="0.3">
      <c r="A47" s="227"/>
      <c r="B47" s="227"/>
      <c r="C47" s="227"/>
      <c r="D47" s="227"/>
      <c r="E47" s="227"/>
      <c r="F47" s="227"/>
      <c r="G47" s="161"/>
      <c r="H47" s="163"/>
      <c r="I47" s="163"/>
      <c r="J47" s="164"/>
      <c r="K47" s="164"/>
      <c r="L47" s="164"/>
    </row>
    <row r="48" spans="1:12" ht="14.25" customHeight="1" x14ac:dyDescent="0.3">
      <c r="F48" s="9"/>
      <c r="I48" s="6"/>
      <c r="J48" s="6"/>
    </row>
    <row r="49" spans="1:12" ht="14.25" customHeight="1" x14ac:dyDescent="0.35">
      <c r="A49" s="229" t="s">
        <v>260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</row>
    <row r="50" spans="1:12" ht="14.25" customHeight="1" x14ac:dyDescent="0.3">
      <c r="A50" s="232" t="s">
        <v>265</v>
      </c>
      <c r="B50" s="232"/>
      <c r="C50" s="232"/>
      <c r="D50" s="232"/>
      <c r="E50" s="232"/>
      <c r="F50" s="232"/>
      <c r="G50" s="232"/>
      <c r="H50" s="232"/>
      <c r="I50" s="232"/>
      <c r="J50" s="232"/>
      <c r="K50" s="232"/>
      <c r="L50" s="232"/>
    </row>
    <row r="51" spans="1:12" ht="14.25" customHeight="1" x14ac:dyDescent="0.3">
      <c r="F51" s="9"/>
      <c r="I51" s="6"/>
      <c r="J51" s="6"/>
    </row>
    <row r="52" spans="1:12" ht="14.25" customHeight="1" x14ac:dyDescent="0.3">
      <c r="F52" s="9"/>
      <c r="I52" s="6"/>
      <c r="J52" s="6"/>
    </row>
    <row r="53" spans="1:12" ht="14.25" customHeight="1" x14ac:dyDescent="0.3">
      <c r="I53" s="6"/>
      <c r="J53" s="6"/>
    </row>
    <row r="54" spans="1:12" ht="14.25" customHeight="1" x14ac:dyDescent="0.35">
      <c r="A54" s="229" t="s">
        <v>261</v>
      </c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</row>
    <row r="55" spans="1:12" ht="14.25" customHeight="1" x14ac:dyDescent="0.3">
      <c r="A55" s="227" t="s">
        <v>262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</row>
    <row r="56" spans="1:12" ht="14.25" customHeight="1" x14ac:dyDescent="0.35">
      <c r="A56" s="229" t="s">
        <v>263</v>
      </c>
      <c r="B56" s="229"/>
      <c r="C56" s="229"/>
      <c r="D56" s="229"/>
      <c r="E56" s="229"/>
      <c r="F56" s="229"/>
      <c r="G56" s="229"/>
      <c r="H56" s="229"/>
      <c r="I56" s="229"/>
      <c r="J56" s="229"/>
      <c r="K56" s="229"/>
      <c r="L56" s="229"/>
    </row>
    <row r="57" spans="1:12" ht="14.25" customHeight="1" x14ac:dyDescent="0.3">
      <c r="A57" s="227" t="s">
        <v>264</v>
      </c>
      <c r="B57" s="227"/>
      <c r="C57" s="227"/>
      <c r="D57" s="227"/>
      <c r="E57" s="227"/>
      <c r="F57" s="227"/>
      <c r="G57" s="227"/>
      <c r="H57" s="227"/>
      <c r="I57" s="227"/>
      <c r="J57" s="227"/>
      <c r="K57" s="227"/>
      <c r="L57" s="227"/>
    </row>
    <row r="59" spans="1:12" ht="14.25" customHeight="1" x14ac:dyDescent="0.3">
      <c r="A59" s="222" t="s">
        <v>161</v>
      </c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</row>
  </sheetData>
  <mergeCells count="15">
    <mergeCell ref="A49:L49"/>
    <mergeCell ref="A50:L50"/>
    <mergeCell ref="A59:L59"/>
    <mergeCell ref="A54:L54"/>
    <mergeCell ref="A55:L55"/>
    <mergeCell ref="A56:L56"/>
    <mergeCell ref="A57:L57"/>
    <mergeCell ref="A47:F47"/>
    <mergeCell ref="B1:K1"/>
    <mergeCell ref="B2:K2"/>
    <mergeCell ref="B4:K4"/>
    <mergeCell ref="B5:K5"/>
    <mergeCell ref="I6:K6"/>
    <mergeCell ref="A44:L44"/>
    <mergeCell ref="A45:L45"/>
  </mergeCells>
  <phoneticPr fontId="0" type="noConversion"/>
  <printOptions horizontalCentered="1"/>
  <pageMargins left="0.59055118110236227" right="0.59055118110236227" top="0.55118110236220474" bottom="0.35433070866141736" header="0.27559055118110237" footer="0.23622047244094491"/>
  <pageSetup paperSize="9" scale="95" orientation="portrait" r:id="rId1"/>
  <headerFooter alignWithMargins="0">
    <oddHeader>&amp;R&amp;12Pagina 925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topLeftCell="A72" zoomScaleNormal="100" workbookViewId="0">
      <selection activeCell="B86" sqref="B86"/>
    </sheetView>
  </sheetViews>
  <sheetFormatPr defaultColWidth="9.1796875" defaultRowHeight="14" x14ac:dyDescent="0.3"/>
  <cols>
    <col min="1" max="1" width="30.54296875" style="1" bestFit="1" customWidth="1"/>
    <col min="2" max="8" width="12.453125" style="1" customWidth="1"/>
    <col min="9" max="9" width="9.1796875" style="1"/>
    <col min="10" max="10" width="11.26953125" style="1" bestFit="1" customWidth="1"/>
    <col min="11" max="16384" width="9.1796875" style="1"/>
  </cols>
  <sheetData>
    <row r="1" spans="1:8" x14ac:dyDescent="0.3">
      <c r="A1" s="224" t="s">
        <v>0</v>
      </c>
      <c r="B1" s="224"/>
      <c r="C1" s="224"/>
      <c r="D1" s="224"/>
      <c r="E1" s="224"/>
      <c r="F1" s="224"/>
      <c r="G1" s="224"/>
      <c r="H1" s="224"/>
    </row>
    <row r="2" spans="1:8" x14ac:dyDescent="0.3">
      <c r="A2" s="225" t="s">
        <v>1</v>
      </c>
      <c r="B2" s="225"/>
      <c r="C2" s="225"/>
      <c r="D2" s="225"/>
      <c r="E2" s="225"/>
      <c r="F2" s="225"/>
      <c r="G2" s="225"/>
      <c r="H2" s="225"/>
    </row>
    <row r="3" spans="1:8" x14ac:dyDescent="0.3">
      <c r="A3" s="2"/>
      <c r="B3" s="2"/>
      <c r="C3" s="2"/>
      <c r="D3" s="2"/>
      <c r="E3" s="2"/>
      <c r="F3" s="2"/>
      <c r="G3" s="2"/>
      <c r="H3" s="2"/>
    </row>
    <row r="5" spans="1:8" x14ac:dyDescent="0.3">
      <c r="A5" s="226" t="s">
        <v>64</v>
      </c>
      <c r="B5" s="226"/>
      <c r="C5" s="226"/>
      <c r="D5" s="226"/>
      <c r="E5" s="226"/>
      <c r="F5" s="226"/>
      <c r="G5" s="226"/>
      <c r="H5" s="226"/>
    </row>
    <row r="6" spans="1:8" x14ac:dyDescent="0.3">
      <c r="A6" s="224" t="s">
        <v>2</v>
      </c>
      <c r="B6" s="224"/>
      <c r="C6" s="224"/>
      <c r="D6" s="224"/>
      <c r="E6" s="224"/>
      <c r="F6" s="224"/>
      <c r="G6" s="224"/>
      <c r="H6" s="224"/>
    </row>
    <row r="7" spans="1:8" x14ac:dyDescent="0.3">
      <c r="A7" s="8"/>
      <c r="B7" s="8"/>
      <c r="C7" s="8"/>
      <c r="D7" s="8"/>
      <c r="E7" s="8"/>
      <c r="F7" s="8"/>
      <c r="G7" s="8"/>
      <c r="H7" s="8"/>
    </row>
    <row r="9" spans="1:8" s="44" customFormat="1" ht="56" x14ac:dyDescent="0.25">
      <c r="A9" s="41"/>
      <c r="B9" s="42" t="s">
        <v>38</v>
      </c>
      <c r="C9" s="43" t="s">
        <v>65</v>
      </c>
      <c r="D9" s="43" t="s">
        <v>66</v>
      </c>
      <c r="E9" s="43" t="s">
        <v>67</v>
      </c>
      <c r="F9" s="43" t="s">
        <v>68</v>
      </c>
      <c r="G9" s="43" t="s">
        <v>69</v>
      </c>
      <c r="H9" s="42" t="s">
        <v>70</v>
      </c>
    </row>
    <row r="10" spans="1:8" hidden="1" x14ac:dyDescent="0.3">
      <c r="A10" s="45" t="s">
        <v>71</v>
      </c>
      <c r="B10" s="46">
        <v>8979007</v>
      </c>
      <c r="C10" s="47"/>
      <c r="D10" s="47"/>
      <c r="E10" s="47"/>
      <c r="F10" s="47"/>
      <c r="G10" s="47">
        <v>7253611</v>
      </c>
      <c r="H10" s="46">
        <f>B10+E10+F10+G10</f>
        <v>16232618</v>
      </c>
    </row>
    <row r="11" spans="1:8" hidden="1" x14ac:dyDescent="0.3">
      <c r="A11" s="48"/>
      <c r="B11" s="49"/>
      <c r="C11" s="50"/>
      <c r="D11" s="50"/>
      <c r="E11" s="50"/>
      <c r="F11" s="50"/>
      <c r="G11" s="50"/>
      <c r="H11" s="49"/>
    </row>
    <row r="12" spans="1:8" hidden="1" x14ac:dyDescent="0.3">
      <c r="A12" s="51" t="s">
        <v>72</v>
      </c>
      <c r="B12" s="49">
        <v>1426542</v>
      </c>
      <c r="C12" s="50"/>
      <c r="D12" s="50"/>
      <c r="E12" s="50"/>
      <c r="F12" s="50"/>
      <c r="G12" s="50"/>
      <c r="H12" s="49">
        <f>SUM(B12:G12)</f>
        <v>1426542</v>
      </c>
    </row>
    <row r="13" spans="1:8" hidden="1" x14ac:dyDescent="0.3">
      <c r="A13" s="51" t="s">
        <v>73</v>
      </c>
      <c r="B13" s="49">
        <v>2916752</v>
      </c>
      <c r="C13" s="50"/>
      <c r="D13" s="50"/>
      <c r="E13" s="50"/>
      <c r="F13" s="50"/>
      <c r="G13" s="50">
        <v>-2916752</v>
      </c>
      <c r="H13" s="49">
        <f>SUM(B13:G13)</f>
        <v>0</v>
      </c>
    </row>
    <row r="14" spans="1:8" hidden="1" x14ac:dyDescent="0.3">
      <c r="A14" s="52" t="s">
        <v>74</v>
      </c>
      <c r="B14" s="49"/>
      <c r="C14" s="50"/>
      <c r="D14" s="50"/>
      <c r="E14" s="50"/>
      <c r="F14" s="50">
        <v>559355</v>
      </c>
      <c r="G14" s="50"/>
      <c r="H14" s="49">
        <f>SUM(B14:G14)</f>
        <v>559355</v>
      </c>
    </row>
    <row r="15" spans="1:8" hidden="1" x14ac:dyDescent="0.3">
      <c r="A15" s="52" t="s">
        <v>75</v>
      </c>
      <c r="B15" s="49"/>
      <c r="C15" s="50"/>
      <c r="D15" s="50"/>
      <c r="E15" s="50"/>
      <c r="F15" s="50"/>
      <c r="G15" s="50"/>
      <c r="H15" s="49"/>
    </row>
    <row r="16" spans="1:8" hidden="1" x14ac:dyDescent="0.3">
      <c r="A16" s="48" t="s">
        <v>76</v>
      </c>
      <c r="B16" s="49"/>
      <c r="C16" s="50"/>
      <c r="D16" s="50"/>
      <c r="E16" s="50"/>
      <c r="F16" s="50"/>
      <c r="G16" s="50">
        <v>-4336859</v>
      </c>
      <c r="H16" s="49">
        <f>SUM(B16:G16)</f>
        <v>-4336859</v>
      </c>
    </row>
    <row r="17" spans="1:8" hidden="1" x14ac:dyDescent="0.3">
      <c r="A17" s="48" t="s">
        <v>77</v>
      </c>
      <c r="B17" s="49"/>
      <c r="C17" s="50"/>
      <c r="D17" s="50"/>
      <c r="E17" s="50"/>
      <c r="F17" s="50">
        <v>-22361</v>
      </c>
      <c r="G17" s="50">
        <v>22361</v>
      </c>
      <c r="H17" s="49">
        <f>SUM(B17:G17)</f>
        <v>0</v>
      </c>
    </row>
    <row r="18" spans="1:8" hidden="1" x14ac:dyDescent="0.3">
      <c r="A18" s="51" t="s">
        <v>78</v>
      </c>
      <c r="B18" s="49"/>
      <c r="C18" s="50"/>
      <c r="D18" s="50"/>
      <c r="E18" s="50"/>
      <c r="F18" s="50"/>
      <c r="G18" s="50">
        <v>5554132</v>
      </c>
      <c r="H18" s="49">
        <f>SUM(B18:G18)</f>
        <v>5554132</v>
      </c>
    </row>
    <row r="19" spans="1:8" hidden="1" x14ac:dyDescent="0.3">
      <c r="A19" s="51" t="s">
        <v>79</v>
      </c>
      <c r="B19" s="53"/>
      <c r="C19" s="54">
        <v>750000</v>
      </c>
      <c r="D19" s="54">
        <v>1666240</v>
      </c>
      <c r="E19" s="54">
        <f>4637892-750000-1666240</f>
        <v>2221652</v>
      </c>
      <c r="F19" s="54"/>
      <c r="G19" s="54">
        <v>-4637892</v>
      </c>
      <c r="H19" s="53">
        <f>SUM(B19:G19)</f>
        <v>0</v>
      </c>
    </row>
    <row r="20" spans="1:8" ht="18.75" hidden="1" customHeight="1" thickBot="1" x14ac:dyDescent="0.35">
      <c r="A20" s="55" t="s">
        <v>80</v>
      </c>
      <c r="B20" s="56">
        <f>SUM(B10:B19)</f>
        <v>13322301</v>
      </c>
      <c r="C20" s="57">
        <v>750000</v>
      </c>
      <c r="D20" s="57">
        <f>SUM(D19)</f>
        <v>1666240</v>
      </c>
      <c r="E20" s="57">
        <f>SUM(E10:E19)</f>
        <v>2221652</v>
      </c>
      <c r="F20" s="57">
        <f>SUM(F10:F19)</f>
        <v>536994</v>
      </c>
      <c r="G20" s="57">
        <f>SUM(G10:G19)</f>
        <v>938601</v>
      </c>
      <c r="H20" s="56">
        <f>SUM(H10:H19)</f>
        <v>19435788</v>
      </c>
    </row>
    <row r="21" spans="1:8" hidden="1" x14ac:dyDescent="0.3">
      <c r="A21" s="48" t="s">
        <v>72</v>
      </c>
      <c r="B21" s="49"/>
      <c r="C21" s="50"/>
      <c r="D21" s="50"/>
      <c r="E21" s="50"/>
      <c r="F21" s="50"/>
      <c r="G21" s="50"/>
      <c r="H21" s="49">
        <f t="shared" ref="H21:H31" si="0">SUM(B21:G21)</f>
        <v>0</v>
      </c>
    </row>
    <row r="22" spans="1:8" hidden="1" x14ac:dyDescent="0.3">
      <c r="A22" s="51" t="s">
        <v>73</v>
      </c>
      <c r="B22" s="49">
        <f>938600.13+1682881.48</f>
        <v>2621481.61</v>
      </c>
      <c r="C22" s="50"/>
      <c r="D22" s="50"/>
      <c r="E22" s="50"/>
      <c r="F22" s="50"/>
      <c r="G22" s="50">
        <f>-938600.13-1682881.48</f>
        <v>-2621481.61</v>
      </c>
      <c r="H22" s="49">
        <f t="shared" si="0"/>
        <v>0</v>
      </c>
    </row>
    <row r="23" spans="1:8" hidden="1" x14ac:dyDescent="0.3">
      <c r="A23" s="52" t="s">
        <v>74</v>
      </c>
      <c r="B23" s="49"/>
      <c r="C23" s="50"/>
      <c r="D23" s="50"/>
      <c r="E23" s="50"/>
      <c r="F23" s="50"/>
      <c r="G23" s="50"/>
      <c r="H23" s="49">
        <f t="shared" si="0"/>
        <v>0</v>
      </c>
    </row>
    <row r="24" spans="1:8" hidden="1" x14ac:dyDescent="0.3">
      <c r="A24" s="52" t="s">
        <v>75</v>
      </c>
      <c r="B24" s="49"/>
      <c r="C24" s="50"/>
      <c r="D24" s="50"/>
      <c r="E24" s="50"/>
      <c r="F24" s="50"/>
      <c r="G24" s="50"/>
      <c r="H24" s="49">
        <f t="shared" si="0"/>
        <v>0</v>
      </c>
    </row>
    <row r="25" spans="1:8" hidden="1" x14ac:dyDescent="0.3">
      <c r="A25" s="48" t="s">
        <v>76</v>
      </c>
      <c r="B25" s="49"/>
      <c r="C25" s="50"/>
      <c r="D25" s="50"/>
      <c r="E25" s="50"/>
      <c r="F25" s="50"/>
      <c r="G25" s="50"/>
      <c r="H25" s="49">
        <f t="shared" si="0"/>
        <v>0</v>
      </c>
    </row>
    <row r="26" spans="1:8" hidden="1" x14ac:dyDescent="0.3">
      <c r="A26" s="48" t="s">
        <v>77</v>
      </c>
      <c r="B26" s="49"/>
      <c r="C26" s="50">
        <v>-250000</v>
      </c>
      <c r="D26" s="50">
        <v>-1666240</v>
      </c>
      <c r="E26" s="50">
        <v>-2221652</v>
      </c>
      <c r="F26" s="50">
        <f>-9317.1-13043.94</f>
        <v>-22361.040000000001</v>
      </c>
      <c r="G26" s="50"/>
      <c r="H26" s="49">
        <f t="shared" si="0"/>
        <v>-4160253.04</v>
      </c>
    </row>
    <row r="27" spans="1:8" hidden="1" x14ac:dyDescent="0.3">
      <c r="A27" s="51" t="s">
        <v>78</v>
      </c>
      <c r="B27" s="49"/>
      <c r="C27" s="50"/>
      <c r="D27" s="50"/>
      <c r="E27" s="50"/>
      <c r="F27" s="58"/>
      <c r="G27" s="50">
        <v>5609604</v>
      </c>
      <c r="H27" s="49">
        <f t="shared" si="0"/>
        <v>5609604</v>
      </c>
    </row>
    <row r="28" spans="1:8" hidden="1" x14ac:dyDescent="0.3">
      <c r="A28" s="51" t="s">
        <v>79</v>
      </c>
      <c r="B28" s="49"/>
      <c r="C28" s="50"/>
      <c r="D28" s="50">
        <v>1682881</v>
      </c>
      <c r="E28" s="50">
        <f>3926723.5-1682881.5</f>
        <v>2243842</v>
      </c>
      <c r="F28" s="50"/>
      <c r="G28" s="50"/>
      <c r="H28" s="49">
        <f t="shared" si="0"/>
        <v>3926723</v>
      </c>
    </row>
    <row r="29" spans="1:8" hidden="1" x14ac:dyDescent="0.3">
      <c r="A29" s="51" t="s">
        <v>81</v>
      </c>
      <c r="B29" s="49"/>
      <c r="C29" s="50"/>
      <c r="D29" s="50"/>
      <c r="E29" s="50"/>
      <c r="F29" s="50"/>
      <c r="G29" s="50"/>
      <c r="H29" s="49">
        <f t="shared" si="0"/>
        <v>0</v>
      </c>
    </row>
    <row r="30" spans="1:8" hidden="1" x14ac:dyDescent="0.3">
      <c r="A30" s="51" t="s">
        <v>82</v>
      </c>
      <c r="B30" s="49"/>
      <c r="C30" s="50"/>
      <c r="D30" s="50"/>
      <c r="E30" s="58"/>
      <c r="F30" s="50"/>
      <c r="G30" s="50">
        <v>-2243842</v>
      </c>
      <c r="H30" s="49">
        <f t="shared" si="0"/>
        <v>-2243842</v>
      </c>
    </row>
    <row r="31" spans="1:8" hidden="1" x14ac:dyDescent="0.3">
      <c r="A31" s="51" t="s">
        <v>83</v>
      </c>
      <c r="B31" s="53"/>
      <c r="C31" s="54"/>
      <c r="D31" s="54"/>
      <c r="E31" s="54"/>
      <c r="F31" s="54"/>
      <c r="G31" s="54"/>
      <c r="H31" s="53">
        <f t="shared" si="0"/>
        <v>0</v>
      </c>
    </row>
    <row r="32" spans="1:8" ht="18.75" hidden="1" customHeight="1" thickBot="1" x14ac:dyDescent="0.35">
      <c r="A32" s="55" t="s">
        <v>84</v>
      </c>
      <c r="B32" s="59">
        <f t="shared" ref="B32:G32" si="1">SUM(B20:B31)</f>
        <v>15943782.609999999</v>
      </c>
      <c r="C32" s="60">
        <f t="shared" si="1"/>
        <v>500000</v>
      </c>
      <c r="D32" s="60">
        <f t="shared" si="1"/>
        <v>1682881</v>
      </c>
      <c r="E32" s="60">
        <f t="shared" si="1"/>
        <v>2243842</v>
      </c>
      <c r="F32" s="60">
        <f t="shared" si="1"/>
        <v>514632.96000000002</v>
      </c>
      <c r="G32" s="60">
        <f t="shared" si="1"/>
        <v>1682881.3900000001</v>
      </c>
      <c r="H32" s="59">
        <f>SUM(H20:H31)+1</f>
        <v>22568020.960000001</v>
      </c>
    </row>
    <row r="33" spans="1:8" hidden="1" x14ac:dyDescent="0.3">
      <c r="A33" s="48" t="s">
        <v>72</v>
      </c>
      <c r="B33" s="49">
        <v>-74585</v>
      </c>
      <c r="C33" s="50"/>
      <c r="D33" s="50"/>
      <c r="E33" s="50"/>
      <c r="F33" s="50"/>
      <c r="G33" s="50"/>
      <c r="H33" s="49">
        <f>SUM(B33:G33)</f>
        <v>-74585</v>
      </c>
    </row>
    <row r="34" spans="1:8" hidden="1" x14ac:dyDescent="0.3">
      <c r="A34" s="51" t="s">
        <v>73</v>
      </c>
      <c r="B34" s="49">
        <v>1621747</v>
      </c>
      <c r="C34" s="50"/>
      <c r="D34" s="50"/>
      <c r="E34" s="50"/>
      <c r="F34" s="50"/>
      <c r="G34" s="50">
        <v>-1621747</v>
      </c>
      <c r="H34" s="49">
        <f>SUM(B34:G34)</f>
        <v>0</v>
      </c>
    </row>
    <row r="35" spans="1:8" hidden="1" x14ac:dyDescent="0.3">
      <c r="A35" s="52" t="s">
        <v>74</v>
      </c>
      <c r="B35" s="49"/>
      <c r="C35" s="50"/>
      <c r="D35" s="50"/>
      <c r="E35" s="50"/>
      <c r="F35" s="50"/>
      <c r="G35" s="50"/>
      <c r="H35" s="49"/>
    </row>
    <row r="36" spans="1:8" hidden="1" x14ac:dyDescent="0.3">
      <c r="A36" s="52" t="s">
        <v>75</v>
      </c>
      <c r="B36" s="49"/>
      <c r="C36" s="50"/>
      <c r="D36" s="50"/>
      <c r="E36" s="50"/>
      <c r="F36" s="50"/>
      <c r="G36" s="50"/>
      <c r="H36" s="49"/>
    </row>
    <row r="37" spans="1:8" hidden="1" x14ac:dyDescent="0.3">
      <c r="A37" s="48" t="s">
        <v>76</v>
      </c>
      <c r="B37" s="49"/>
      <c r="C37" s="50"/>
      <c r="D37" s="50"/>
      <c r="E37" s="50"/>
      <c r="F37" s="50"/>
      <c r="G37" s="50"/>
      <c r="H37" s="49"/>
    </row>
    <row r="38" spans="1:8" hidden="1" x14ac:dyDescent="0.3">
      <c r="A38" s="48" t="s">
        <v>77</v>
      </c>
      <c r="B38" s="49"/>
      <c r="C38" s="50">
        <v>-250000</v>
      </c>
      <c r="D38" s="50">
        <v>-1682881</v>
      </c>
      <c r="E38" s="50">
        <v>-2243842</v>
      </c>
      <c r="F38" s="50">
        <v>-29498.07</v>
      </c>
      <c r="G38" s="50"/>
      <c r="H38" s="49">
        <f>SUM(B38:G38)</f>
        <v>-4206221.07</v>
      </c>
    </row>
    <row r="39" spans="1:8" hidden="1" x14ac:dyDescent="0.3">
      <c r="A39" s="51" t="s">
        <v>78</v>
      </c>
      <c r="B39" s="49"/>
      <c r="C39" s="50"/>
      <c r="D39" s="50"/>
      <c r="E39" s="50"/>
      <c r="F39" s="58"/>
      <c r="G39" s="50">
        <v>5405819</v>
      </c>
      <c r="H39" s="49">
        <f>SUM(B39:G39)</f>
        <v>5405819</v>
      </c>
    </row>
    <row r="40" spans="1:8" hidden="1" x14ac:dyDescent="0.3">
      <c r="A40" s="51" t="s">
        <v>79</v>
      </c>
      <c r="B40" s="53"/>
      <c r="C40" s="54"/>
      <c r="D40" s="54">
        <v>1621745.44</v>
      </c>
      <c r="E40" s="54">
        <v>2162327.2599999998</v>
      </c>
      <c r="F40" s="54"/>
      <c r="G40" s="54">
        <f>-(1621745.44+2162327.26)+1</f>
        <v>-3784071.6999999997</v>
      </c>
      <c r="H40" s="53"/>
    </row>
    <row r="41" spans="1:8" ht="14.5" hidden="1" thickBot="1" x14ac:dyDescent="0.35">
      <c r="A41" s="61" t="s">
        <v>85</v>
      </c>
      <c r="B41" s="59">
        <f t="shared" ref="B41:G41" si="2">SUM(B32:B40)</f>
        <v>17490944.609999999</v>
      </c>
      <c r="C41" s="60">
        <f t="shared" si="2"/>
        <v>250000</v>
      </c>
      <c r="D41" s="60">
        <f t="shared" si="2"/>
        <v>1621745.44</v>
      </c>
      <c r="E41" s="60">
        <f t="shared" si="2"/>
        <v>2162327.2599999998</v>
      </c>
      <c r="F41" s="60">
        <f t="shared" si="2"/>
        <v>485134.89</v>
      </c>
      <c r="G41" s="60">
        <f t="shared" si="2"/>
        <v>1682881.6900000009</v>
      </c>
      <c r="H41" s="59">
        <f>SUM(B41:G41)</f>
        <v>23693033.890000004</v>
      </c>
    </row>
    <row r="42" spans="1:8" ht="14.5" hidden="1" thickTop="1" x14ac:dyDescent="0.3">
      <c r="A42" s="48" t="s">
        <v>72</v>
      </c>
      <c r="B42" s="62">
        <v>15522</v>
      </c>
      <c r="C42" s="63"/>
      <c r="D42" s="63"/>
      <c r="E42" s="63"/>
      <c r="F42" s="63"/>
      <c r="G42" s="63"/>
      <c r="H42" s="62">
        <f>SUM(B42:G42)</f>
        <v>15522</v>
      </c>
    </row>
    <row r="43" spans="1:8" hidden="1" x14ac:dyDescent="0.3">
      <c r="A43" s="48" t="s">
        <v>77</v>
      </c>
      <c r="B43" s="64"/>
      <c r="C43" s="50">
        <v>-250000</v>
      </c>
      <c r="D43" s="50">
        <v>-1621745.44</v>
      </c>
      <c r="E43" s="50">
        <v>-2162327.2599999998</v>
      </c>
      <c r="F43" s="50">
        <v>-24740.04</v>
      </c>
      <c r="G43" s="65"/>
      <c r="H43" s="49">
        <f>SUM(B43:G43)</f>
        <v>-4058812.7399999998</v>
      </c>
    </row>
    <row r="44" spans="1:8" hidden="1" x14ac:dyDescent="0.3">
      <c r="A44" s="51" t="s">
        <v>78</v>
      </c>
      <c r="B44" s="64"/>
      <c r="C44" s="65"/>
      <c r="D44" s="65"/>
      <c r="E44" s="65"/>
      <c r="F44" s="65"/>
      <c r="G44" s="50">
        <v>4113101</v>
      </c>
      <c r="H44" s="49">
        <f>SUM(B44:G44)</f>
        <v>4113101</v>
      </c>
    </row>
    <row r="45" spans="1:8" hidden="1" x14ac:dyDescent="0.3">
      <c r="A45" s="51" t="s">
        <v>86</v>
      </c>
      <c r="B45" s="64"/>
      <c r="C45" s="65"/>
      <c r="D45" s="50">
        <v>1233930</v>
      </c>
      <c r="E45" s="50">
        <v>1645241</v>
      </c>
      <c r="F45" s="65"/>
      <c r="G45" s="50">
        <v>-2879171</v>
      </c>
      <c r="H45" s="64">
        <f>SUM(B45:G45)</f>
        <v>0</v>
      </c>
    </row>
    <row r="46" spans="1:8" hidden="1" x14ac:dyDescent="0.3">
      <c r="A46" s="51" t="s">
        <v>73</v>
      </c>
      <c r="B46" s="49">
        <v>1233930</v>
      </c>
      <c r="C46" s="65"/>
      <c r="D46" s="50"/>
      <c r="E46" s="50"/>
      <c r="F46" s="65"/>
      <c r="G46" s="50">
        <v>-1233930</v>
      </c>
      <c r="H46" s="64"/>
    </row>
    <row r="47" spans="1:8" ht="14.5" hidden="1" thickBot="1" x14ac:dyDescent="0.35">
      <c r="A47" s="61" t="s">
        <v>87</v>
      </c>
      <c r="B47" s="59">
        <f t="shared" ref="B47:H47" si="3">SUM(B41:B46)</f>
        <v>18740396.609999999</v>
      </c>
      <c r="C47" s="59">
        <f t="shared" si="3"/>
        <v>0</v>
      </c>
      <c r="D47" s="59">
        <f t="shared" si="3"/>
        <v>1233930</v>
      </c>
      <c r="E47" s="59">
        <f t="shared" si="3"/>
        <v>1645241</v>
      </c>
      <c r="F47" s="59">
        <f t="shared" si="3"/>
        <v>460394.85000000003</v>
      </c>
      <c r="G47" s="59">
        <f t="shared" si="3"/>
        <v>1682881.6900000013</v>
      </c>
      <c r="H47" s="59">
        <f t="shared" si="3"/>
        <v>23762844.150000006</v>
      </c>
    </row>
    <row r="48" spans="1:8" ht="14.5" hidden="1" thickTop="1" x14ac:dyDescent="0.3">
      <c r="A48" s="48" t="s">
        <v>72</v>
      </c>
      <c r="B48" s="49">
        <v>22</v>
      </c>
      <c r="C48" s="50"/>
      <c r="D48" s="50"/>
      <c r="E48" s="50"/>
      <c r="F48" s="50"/>
      <c r="G48" s="50"/>
      <c r="H48" s="62">
        <f>SUM(B48:G48)</f>
        <v>22</v>
      </c>
    </row>
    <row r="49" spans="1:8" hidden="1" x14ac:dyDescent="0.3">
      <c r="A49" s="48" t="s">
        <v>77</v>
      </c>
      <c r="B49" s="49"/>
      <c r="C49" s="50"/>
      <c r="D49" s="50">
        <v>-1233930</v>
      </c>
      <c r="E49" s="50">
        <v>-1645241</v>
      </c>
      <c r="F49" s="50">
        <v>-24740.04</v>
      </c>
      <c r="G49" s="50"/>
      <c r="H49" s="49">
        <f>SUM(B49:G49)</f>
        <v>-2903911.04</v>
      </c>
    </row>
    <row r="50" spans="1:8" hidden="1" x14ac:dyDescent="0.3">
      <c r="A50" s="51" t="s">
        <v>78</v>
      </c>
      <c r="B50" s="49"/>
      <c r="C50" s="50"/>
      <c r="D50" s="50"/>
      <c r="E50" s="50"/>
      <c r="F50" s="50"/>
      <c r="G50" s="50">
        <v>4256267</v>
      </c>
      <c r="H50" s="49">
        <f>SUM(B50:G50)</f>
        <v>4256267</v>
      </c>
    </row>
    <row r="51" spans="1:8" hidden="1" x14ac:dyDescent="0.3">
      <c r="A51" s="51" t="s">
        <v>86</v>
      </c>
      <c r="B51" s="49"/>
      <c r="C51" s="50"/>
      <c r="D51" s="50">
        <v>1276880</v>
      </c>
      <c r="E51" s="50">
        <v>1702507</v>
      </c>
      <c r="F51" s="50"/>
      <c r="G51" s="50">
        <v>-2979387</v>
      </c>
      <c r="H51" s="49">
        <f>SUM(B51:G51)</f>
        <v>0</v>
      </c>
    </row>
    <row r="52" spans="1:8" hidden="1" x14ac:dyDescent="0.3">
      <c r="A52" s="51" t="s">
        <v>73</v>
      </c>
      <c r="B52" s="49">
        <v>1276880</v>
      </c>
      <c r="C52" s="50"/>
      <c r="D52" s="50"/>
      <c r="E52" s="50"/>
      <c r="F52" s="50"/>
      <c r="G52" s="50">
        <v>-1276880</v>
      </c>
      <c r="H52" s="49"/>
    </row>
    <row r="53" spans="1:8" ht="14.5" hidden="1" thickBot="1" x14ac:dyDescent="0.35">
      <c r="A53" s="66" t="s">
        <v>89</v>
      </c>
      <c r="B53" s="59">
        <v>14940113</v>
      </c>
      <c r="C53" s="60" t="e">
        <f>SUM(#REF!)</f>
        <v>#REF!</v>
      </c>
      <c r="D53" s="59">
        <v>737471</v>
      </c>
      <c r="E53" s="59">
        <v>983294</v>
      </c>
      <c r="F53" s="59">
        <v>410915</v>
      </c>
      <c r="G53" s="59">
        <v>0</v>
      </c>
      <c r="H53" s="59">
        <v>17071793</v>
      </c>
    </row>
    <row r="54" spans="1:8" hidden="1" x14ac:dyDescent="0.3">
      <c r="A54" s="110" t="s">
        <v>88</v>
      </c>
      <c r="B54" s="49">
        <v>22229</v>
      </c>
      <c r="C54" s="30"/>
      <c r="D54" s="50"/>
      <c r="E54" s="49"/>
      <c r="F54" s="49"/>
      <c r="G54" s="49"/>
      <c r="H54" s="49">
        <f t="shared" ref="H54:H60" si="4">SUM(B54:G54)</f>
        <v>22229</v>
      </c>
    </row>
    <row r="55" spans="1:8" hidden="1" x14ac:dyDescent="0.3">
      <c r="A55" s="110" t="s">
        <v>97</v>
      </c>
      <c r="B55" s="49">
        <v>-349032</v>
      </c>
      <c r="C55" s="30"/>
      <c r="D55" s="50"/>
      <c r="E55" s="49"/>
      <c r="F55" s="49"/>
      <c r="G55" s="49"/>
      <c r="H55" s="49">
        <f t="shared" si="4"/>
        <v>-349032</v>
      </c>
    </row>
    <row r="56" spans="1:8" hidden="1" x14ac:dyDescent="0.3">
      <c r="A56" s="48" t="s">
        <v>77</v>
      </c>
      <c r="B56" s="49"/>
      <c r="C56" s="30"/>
      <c r="D56" s="50">
        <v>-737471</v>
      </c>
      <c r="E56" s="49">
        <v>-983294</v>
      </c>
      <c r="F56" s="49">
        <v>-24740</v>
      </c>
      <c r="G56" s="49"/>
      <c r="H56" s="49">
        <f t="shared" si="4"/>
        <v>-1745505</v>
      </c>
    </row>
    <row r="57" spans="1:8" hidden="1" x14ac:dyDescent="0.3">
      <c r="A57" s="51" t="s">
        <v>78</v>
      </c>
      <c r="B57" s="49"/>
      <c r="C57" s="30"/>
      <c r="D57" s="50"/>
      <c r="E57" s="49"/>
      <c r="F57" s="49"/>
      <c r="G57" s="49">
        <v>1841566</v>
      </c>
      <c r="H57" s="49">
        <f t="shared" si="4"/>
        <v>1841566</v>
      </c>
    </row>
    <row r="58" spans="1:8" hidden="1" x14ac:dyDescent="0.3">
      <c r="A58" s="51" t="s">
        <v>86</v>
      </c>
      <c r="B58" s="49"/>
      <c r="C58" s="30"/>
      <c r="D58" s="50">
        <v>552470</v>
      </c>
      <c r="E58" s="49">
        <v>736626</v>
      </c>
      <c r="F58" s="49"/>
      <c r="G58" s="49">
        <v>-1289096</v>
      </c>
      <c r="H58" s="49">
        <f t="shared" si="4"/>
        <v>0</v>
      </c>
    </row>
    <row r="59" spans="1:8" hidden="1" x14ac:dyDescent="0.3">
      <c r="A59" s="51" t="s">
        <v>73</v>
      </c>
      <c r="B59" s="53">
        <v>552470</v>
      </c>
      <c r="C59" s="71"/>
      <c r="D59" s="54"/>
      <c r="E59" s="53"/>
      <c r="F59" s="53"/>
      <c r="G59" s="53">
        <v>-552470</v>
      </c>
      <c r="H59" s="49">
        <f t="shared" si="4"/>
        <v>0</v>
      </c>
    </row>
    <row r="60" spans="1:8" ht="14.5" thickBot="1" x14ac:dyDescent="0.35">
      <c r="A60" s="61" t="s">
        <v>92</v>
      </c>
      <c r="B60" s="59">
        <f>SUM(B53:B59)</f>
        <v>15165780</v>
      </c>
      <c r="C60" s="60"/>
      <c r="D60" s="59">
        <f>SUM(D53:D59)</f>
        <v>552470</v>
      </c>
      <c r="E60" s="59">
        <f>SUM(E53:E59)</f>
        <v>736626</v>
      </c>
      <c r="F60" s="59">
        <f>SUM(F53:F59)</f>
        <v>386175</v>
      </c>
      <c r="G60" s="59">
        <f>SUM(G54:G59)</f>
        <v>0</v>
      </c>
      <c r="H60" s="59">
        <f t="shared" si="4"/>
        <v>16841051</v>
      </c>
    </row>
    <row r="61" spans="1:8" ht="14.5" thickTop="1" x14ac:dyDescent="0.3">
      <c r="A61" s="110" t="s">
        <v>88</v>
      </c>
      <c r="B61" s="49">
        <v>34150</v>
      </c>
      <c r="C61" s="30"/>
      <c r="D61" s="108"/>
      <c r="E61" s="49"/>
      <c r="F61" s="30"/>
      <c r="G61" s="49"/>
      <c r="H61" s="49">
        <f>B61</f>
        <v>34150</v>
      </c>
    </row>
    <row r="62" spans="1:8" x14ac:dyDescent="0.3">
      <c r="A62" s="110" t="s">
        <v>97</v>
      </c>
      <c r="B62" s="49">
        <v>-32556</v>
      </c>
      <c r="C62" s="30"/>
      <c r="D62" s="108"/>
      <c r="E62" s="49"/>
      <c r="F62" s="30"/>
      <c r="G62" s="49"/>
      <c r="H62" s="49">
        <f>B62</f>
        <v>-32556</v>
      </c>
    </row>
    <row r="63" spans="1:8" x14ac:dyDescent="0.3">
      <c r="A63" s="48" t="s">
        <v>77</v>
      </c>
      <c r="B63" s="49"/>
      <c r="C63" s="30"/>
      <c r="D63" s="108">
        <v>-552470</v>
      </c>
      <c r="E63" s="49">
        <v>-736626</v>
      </c>
      <c r="F63" s="30">
        <v>-24741</v>
      </c>
      <c r="G63" s="49"/>
      <c r="H63" s="49">
        <f>D63+E63+F63</f>
        <v>-1313837</v>
      </c>
    </row>
    <row r="64" spans="1:8" x14ac:dyDescent="0.3">
      <c r="A64" s="51" t="s">
        <v>78</v>
      </c>
      <c r="B64" s="49"/>
      <c r="C64" s="30"/>
      <c r="D64" s="108"/>
      <c r="E64" s="49"/>
      <c r="F64" s="30"/>
      <c r="G64" s="49">
        <v>4972796</v>
      </c>
      <c r="H64" s="49">
        <f>G64</f>
        <v>4972796</v>
      </c>
    </row>
    <row r="65" spans="1:9" x14ac:dyDescent="0.3">
      <c r="A65" s="51" t="s">
        <v>86</v>
      </c>
      <c r="B65" s="49"/>
      <c r="C65" s="30"/>
      <c r="D65" s="108">
        <v>1491839</v>
      </c>
      <c r="E65" s="49">
        <v>1989118</v>
      </c>
      <c r="F65" s="30"/>
      <c r="G65" s="49">
        <f>-(D65+E65)</f>
        <v>-3480957</v>
      </c>
      <c r="H65" s="49"/>
    </row>
    <row r="66" spans="1:9" x14ac:dyDescent="0.3">
      <c r="A66" s="51" t="s">
        <v>73</v>
      </c>
      <c r="B66" s="49">
        <v>1491839</v>
      </c>
      <c r="C66" s="30"/>
      <c r="D66" s="108"/>
      <c r="E66" s="49"/>
      <c r="F66" s="30"/>
      <c r="G66" s="49">
        <f>-B66</f>
        <v>-1491839</v>
      </c>
      <c r="H66" s="49"/>
    </row>
    <row r="67" spans="1:9" x14ac:dyDescent="0.3">
      <c r="A67" s="52" t="s">
        <v>98</v>
      </c>
      <c r="B67" s="49">
        <v>9105594</v>
      </c>
      <c r="C67" s="30"/>
      <c r="D67" s="108"/>
      <c r="E67" s="49"/>
      <c r="F67" s="30"/>
      <c r="G67" s="49"/>
      <c r="H67" s="49">
        <f>B67</f>
        <v>9105594</v>
      </c>
    </row>
    <row r="68" spans="1:9" ht="14.5" thickBot="1" x14ac:dyDescent="0.35">
      <c r="A68" s="61" t="s">
        <v>99</v>
      </c>
      <c r="B68" s="59">
        <f>SUM(B60:B67)</f>
        <v>25764807</v>
      </c>
      <c r="C68" s="109"/>
      <c r="D68" s="174">
        <f>D65</f>
        <v>1491839</v>
      </c>
      <c r="E68" s="56">
        <f>E65</f>
        <v>1989118</v>
      </c>
      <c r="F68" s="175">
        <f>F60+F63</f>
        <v>361434</v>
      </c>
      <c r="G68" s="173">
        <v>0</v>
      </c>
      <c r="H68" s="59">
        <f>B68+D68+E68+F68</f>
        <v>29607198</v>
      </c>
    </row>
    <row r="69" spans="1:9" ht="14.5" thickTop="1" x14ac:dyDescent="0.3">
      <c r="A69" s="110" t="s">
        <v>88</v>
      </c>
      <c r="B69" s="49">
        <v>41105.54</v>
      </c>
      <c r="C69" s="64"/>
      <c r="D69" s="49"/>
      <c r="E69" s="30"/>
      <c r="F69" s="49"/>
      <c r="G69" s="35"/>
      <c r="H69" s="49">
        <f>B69</f>
        <v>41105.54</v>
      </c>
    </row>
    <row r="70" spans="1:9" x14ac:dyDescent="0.3">
      <c r="A70" s="110" t="s">
        <v>97</v>
      </c>
      <c r="B70" s="49">
        <v>-39422</v>
      </c>
      <c r="C70" s="64"/>
      <c r="D70" s="49"/>
      <c r="E70" s="30"/>
      <c r="F70" s="49"/>
      <c r="G70" s="35"/>
      <c r="H70" s="49">
        <f>B70</f>
        <v>-39422</v>
      </c>
    </row>
    <row r="71" spans="1:9" x14ac:dyDescent="0.3">
      <c r="A71" s="48" t="s">
        <v>77</v>
      </c>
      <c r="B71" s="171"/>
      <c r="C71" s="64"/>
      <c r="D71" s="49">
        <v>-1491839</v>
      </c>
      <c r="E71" s="30">
        <v>-1989118</v>
      </c>
      <c r="F71" s="49">
        <v>-24740.06</v>
      </c>
      <c r="G71" s="35"/>
      <c r="H71" s="49">
        <f>D71+E71+F71</f>
        <v>-3505697.06</v>
      </c>
    </row>
    <row r="72" spans="1:9" x14ac:dyDescent="0.3">
      <c r="A72" s="51" t="s">
        <v>78</v>
      </c>
      <c r="B72" s="171"/>
      <c r="C72" s="64"/>
      <c r="D72" s="49"/>
      <c r="E72" s="30"/>
      <c r="F72" s="49"/>
      <c r="G72" s="30">
        <v>3871609</v>
      </c>
      <c r="H72" s="49">
        <f>G72</f>
        <v>3871609</v>
      </c>
      <c r="I72" s="128"/>
    </row>
    <row r="73" spans="1:9" x14ac:dyDescent="0.3">
      <c r="A73" s="51" t="s">
        <v>86</v>
      </c>
      <c r="B73" s="171"/>
      <c r="C73" s="64"/>
      <c r="D73" s="49">
        <v>1161483</v>
      </c>
      <c r="E73" s="30">
        <v>1548643</v>
      </c>
      <c r="F73" s="49"/>
      <c r="G73" s="30">
        <f>-(D73+E73)</f>
        <v>-2710126</v>
      </c>
      <c r="H73" s="49">
        <f>D73+E73+G73</f>
        <v>0</v>
      </c>
    </row>
    <row r="74" spans="1:9" x14ac:dyDescent="0.3">
      <c r="A74" s="51" t="s">
        <v>73</v>
      </c>
      <c r="B74" s="49">
        <v>1161483</v>
      </c>
      <c r="C74" s="64"/>
      <c r="D74" s="49"/>
      <c r="E74" s="30"/>
      <c r="F74" s="49"/>
      <c r="G74" s="30">
        <f>-B74</f>
        <v>-1161483</v>
      </c>
      <c r="H74" s="49">
        <f>B74+G74</f>
        <v>0</v>
      </c>
    </row>
    <row r="75" spans="1:9" x14ac:dyDescent="0.3">
      <c r="A75" s="52" t="s">
        <v>145</v>
      </c>
      <c r="B75" s="53">
        <v>6000000</v>
      </c>
      <c r="C75" s="170"/>
      <c r="D75" s="53"/>
      <c r="E75" s="71"/>
      <c r="F75" s="53"/>
      <c r="G75" s="126"/>
      <c r="H75" s="53">
        <v>6000000</v>
      </c>
    </row>
    <row r="76" spans="1:9" ht="14.5" thickBot="1" x14ac:dyDescent="0.35">
      <c r="A76" s="61" t="s">
        <v>146</v>
      </c>
      <c r="B76" s="59">
        <f>SUM(B68:B75)</f>
        <v>32927973.539999999</v>
      </c>
      <c r="C76" s="173"/>
      <c r="D76" s="57">
        <f>SUM(D68:D75)</f>
        <v>1161483</v>
      </c>
      <c r="E76" s="57">
        <f>SUM(E68:E75)</f>
        <v>1548643</v>
      </c>
      <c r="F76" s="57">
        <f>SUM(F68:F75)+1</f>
        <v>336694.94</v>
      </c>
      <c r="G76" s="127">
        <f>SUM(G68:G75)</f>
        <v>0</v>
      </c>
      <c r="H76" s="60">
        <f>B76+D76+E76+F76+G76+1</f>
        <v>35974795.479999997</v>
      </c>
      <c r="I76" s="128"/>
    </row>
    <row r="77" spans="1:9" ht="14.5" thickTop="1" x14ac:dyDescent="0.3">
      <c r="A77" s="110" t="s">
        <v>88</v>
      </c>
      <c r="B77" s="49">
        <v>1321</v>
      </c>
      <c r="C77" s="64"/>
      <c r="D77" s="46"/>
      <c r="E77" s="124"/>
      <c r="F77" s="46"/>
      <c r="G77" s="123"/>
      <c r="H77" s="46">
        <f>B77</f>
        <v>1321</v>
      </c>
    </row>
    <row r="78" spans="1:9" hidden="1" x14ac:dyDescent="0.3">
      <c r="A78" s="110" t="s">
        <v>97</v>
      </c>
      <c r="B78" s="49">
        <v>0</v>
      </c>
      <c r="C78" s="64"/>
      <c r="D78" s="49"/>
      <c r="E78" s="30"/>
      <c r="F78" s="49"/>
      <c r="G78" s="35"/>
      <c r="H78" s="49">
        <f>B78</f>
        <v>0</v>
      </c>
    </row>
    <row r="79" spans="1:9" x14ac:dyDescent="0.3">
      <c r="A79" s="48" t="s">
        <v>77</v>
      </c>
      <c r="B79" s="171"/>
      <c r="C79" s="64"/>
      <c r="D79" s="49">
        <f>-D76</f>
        <v>-1161483</v>
      </c>
      <c r="E79" s="30">
        <f>-E73</f>
        <v>-1548643</v>
      </c>
      <c r="F79" s="49">
        <f>F71</f>
        <v>-24740.06</v>
      </c>
      <c r="G79" s="35"/>
      <c r="H79" s="49">
        <f>D79+E79+F79</f>
        <v>-2734866.06</v>
      </c>
    </row>
    <row r="80" spans="1:9" x14ac:dyDescent="0.3">
      <c r="A80" s="51" t="s">
        <v>198</v>
      </c>
      <c r="B80" s="172"/>
      <c r="C80" s="170"/>
      <c r="D80" s="49"/>
      <c r="E80" s="30"/>
      <c r="F80" s="49"/>
      <c r="G80" s="30">
        <f>[1]DRE!I34</f>
        <v>-3179002.6900000037</v>
      </c>
      <c r="H80" s="49">
        <f>G80</f>
        <v>-3179002.6900000037</v>
      </c>
    </row>
    <row r="81" spans="1:10" hidden="1" x14ac:dyDescent="0.3">
      <c r="A81" s="51" t="s">
        <v>86</v>
      </c>
      <c r="B81" s="125"/>
      <c r="C81" s="35"/>
      <c r="D81" s="49"/>
      <c r="E81" s="30"/>
      <c r="F81" s="49"/>
      <c r="G81" s="30">
        <f>-(D81+E81)</f>
        <v>0</v>
      </c>
      <c r="H81" s="49">
        <f>D81+E81+G81</f>
        <v>0</v>
      </c>
    </row>
    <row r="82" spans="1:10" hidden="1" x14ac:dyDescent="0.3">
      <c r="A82" s="51" t="s">
        <v>199</v>
      </c>
      <c r="B82" s="108"/>
      <c r="C82" s="35"/>
      <c r="D82" s="49"/>
      <c r="E82" s="30"/>
      <c r="F82" s="49"/>
      <c r="G82" s="30">
        <f>-B82</f>
        <v>0</v>
      </c>
      <c r="H82" s="49">
        <f>B82+G82</f>
        <v>0</v>
      </c>
    </row>
    <row r="83" spans="1:10" ht="14.5" thickBot="1" x14ac:dyDescent="0.35">
      <c r="A83" s="61" t="s">
        <v>197</v>
      </c>
      <c r="B83" s="59">
        <f>SUM(B76:B82)</f>
        <v>32929294.539999999</v>
      </c>
      <c r="C83" s="173"/>
      <c r="D83" s="56">
        <f>SUM(D76:D82)</f>
        <v>0</v>
      </c>
      <c r="E83" s="57">
        <f>SUM(E76:E82)</f>
        <v>0</v>
      </c>
      <c r="F83" s="57">
        <f>SUM(F76:F82)</f>
        <v>311954.88</v>
      </c>
      <c r="G83" s="57">
        <f>SUM(G76:G82)</f>
        <v>-3179002.6900000037</v>
      </c>
      <c r="H83" s="60">
        <f>B83+D83+E83+F83+G83</f>
        <v>30062246.729999993</v>
      </c>
    </row>
    <row r="84" spans="1:10" ht="14.5" hidden="1" thickTop="1" x14ac:dyDescent="0.3">
      <c r="A84" s="110" t="s">
        <v>88</v>
      </c>
      <c r="B84" s="49"/>
      <c r="C84" s="64"/>
      <c r="D84" s="49"/>
      <c r="E84" s="49"/>
      <c r="F84" s="49"/>
      <c r="G84" s="64"/>
      <c r="H84" s="50">
        <f>B84</f>
        <v>0</v>
      </c>
    </row>
    <row r="85" spans="1:10" ht="14.5" hidden="1" thickTop="1" x14ac:dyDescent="0.3">
      <c r="A85" s="110" t="s">
        <v>97</v>
      </c>
      <c r="B85" s="49">
        <v>0</v>
      </c>
      <c r="C85" s="64"/>
      <c r="D85" s="49"/>
      <c r="E85" s="49"/>
      <c r="F85" s="49"/>
      <c r="G85" s="64"/>
      <c r="H85" s="50">
        <f>B85</f>
        <v>0</v>
      </c>
    </row>
    <row r="86" spans="1:10" ht="14.5" thickTop="1" x14ac:dyDescent="0.3">
      <c r="A86" s="48" t="s">
        <v>77</v>
      </c>
      <c r="B86" s="171"/>
      <c r="C86" s="64"/>
      <c r="D86" s="169"/>
      <c r="E86" s="169"/>
      <c r="F86" s="169">
        <v>-24740</v>
      </c>
      <c r="G86" s="64"/>
      <c r="H86" s="50">
        <f>D86+E86+F86</f>
        <v>-24740</v>
      </c>
    </row>
    <row r="87" spans="1:10" x14ac:dyDescent="0.3">
      <c r="A87" s="51" t="s">
        <v>198</v>
      </c>
      <c r="B87" s="171"/>
      <c r="C87" s="64"/>
      <c r="D87" s="49"/>
      <c r="E87" s="49"/>
      <c r="F87" s="49"/>
      <c r="G87" s="169">
        <v>-6787859</v>
      </c>
      <c r="H87" s="50">
        <f>G87</f>
        <v>-6787859</v>
      </c>
    </row>
    <row r="88" spans="1:10" x14ac:dyDescent="0.3">
      <c r="A88" s="51" t="s">
        <v>86</v>
      </c>
      <c r="B88" s="171"/>
      <c r="C88" s="64"/>
      <c r="D88" s="49"/>
      <c r="E88" s="49"/>
      <c r="F88" s="49">
        <v>3537807</v>
      </c>
      <c r="G88" s="49">
        <f>-(D88+E88)</f>
        <v>0</v>
      </c>
      <c r="H88" s="50">
        <f>F88</f>
        <v>3537807</v>
      </c>
    </row>
    <row r="89" spans="1:10" x14ac:dyDescent="0.3">
      <c r="A89" s="51" t="s">
        <v>226</v>
      </c>
      <c r="B89" s="49">
        <v>-92071</v>
      </c>
      <c r="C89" s="64"/>
      <c r="D89" s="49"/>
      <c r="E89" s="49"/>
      <c r="F89" s="49"/>
      <c r="G89" s="49"/>
      <c r="H89" s="50"/>
    </row>
    <row r="90" spans="1:10" x14ac:dyDescent="0.3">
      <c r="A90" s="51" t="s">
        <v>227</v>
      </c>
      <c r="B90" s="53">
        <v>-742944</v>
      </c>
      <c r="C90" s="170"/>
      <c r="D90" s="53"/>
      <c r="E90" s="53"/>
      <c r="F90" s="53"/>
      <c r="G90" s="53">
        <v>3179003</v>
      </c>
      <c r="H90" s="50">
        <f>B90+G90</f>
        <v>2436059</v>
      </c>
    </row>
    <row r="91" spans="1:10" ht="14.5" thickBot="1" x14ac:dyDescent="0.35">
      <c r="A91" s="61" t="s">
        <v>204</v>
      </c>
      <c r="B91" s="59">
        <f>SUM(B83:B90)</f>
        <v>32094279.539999999</v>
      </c>
      <c r="C91" s="173"/>
      <c r="D91" s="57">
        <f>SUM(D83:D90)</f>
        <v>0</v>
      </c>
      <c r="E91" s="57">
        <f>SUM(E83:E90)</f>
        <v>0</v>
      </c>
      <c r="F91" s="57">
        <f>SUM(F83:F90)</f>
        <v>3825021.88</v>
      </c>
      <c r="G91" s="57">
        <f>SUM(G83:G90)</f>
        <v>-6787858.6900000032</v>
      </c>
      <c r="H91" s="60">
        <f>B91+D91+E91+F91+G91</f>
        <v>29131442.729999997</v>
      </c>
    </row>
    <row r="92" spans="1:10" ht="14.5" thickTop="1" x14ac:dyDescent="0.3">
      <c r="A92" s="121"/>
      <c r="B92" s="122"/>
      <c r="C92" s="35"/>
      <c r="D92" s="30"/>
      <c r="E92" s="30"/>
      <c r="F92" s="30"/>
      <c r="G92" s="35"/>
      <c r="H92" s="122"/>
      <c r="J92" s="165"/>
    </row>
    <row r="94" spans="1:10" x14ac:dyDescent="0.3">
      <c r="A94" s="222" t="s">
        <v>161</v>
      </c>
      <c r="B94" s="222"/>
      <c r="C94" s="222"/>
      <c r="D94" s="222"/>
      <c r="E94" s="222"/>
      <c r="F94" s="222"/>
      <c r="G94" s="222"/>
      <c r="H94" s="222"/>
      <c r="J94" s="165"/>
    </row>
  </sheetData>
  <mergeCells count="5">
    <mergeCell ref="A94:H94"/>
    <mergeCell ref="A1:H1"/>
    <mergeCell ref="A2:H2"/>
    <mergeCell ref="A5:H5"/>
    <mergeCell ref="A6:H6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showGridLines="0" topLeftCell="A77" zoomScaleNormal="100" workbookViewId="0">
      <selection activeCell="F88" sqref="F88"/>
    </sheetView>
  </sheetViews>
  <sheetFormatPr defaultColWidth="9.1796875" defaultRowHeight="14" x14ac:dyDescent="0.3"/>
  <cols>
    <col min="1" max="1" width="30.54296875" style="1" bestFit="1" customWidth="1"/>
    <col min="2" max="8" width="12.453125" style="1" customWidth="1"/>
    <col min="9" max="9" width="9.1796875" style="1"/>
    <col min="10" max="10" width="11.26953125" style="1" bestFit="1" customWidth="1"/>
    <col min="11" max="16384" width="9.1796875" style="1"/>
  </cols>
  <sheetData>
    <row r="1" spans="1:8" x14ac:dyDescent="0.3">
      <c r="A1" s="224" t="s">
        <v>0</v>
      </c>
      <c r="B1" s="224"/>
      <c r="C1" s="224"/>
      <c r="D1" s="224"/>
      <c r="E1" s="224"/>
      <c r="F1" s="224"/>
      <c r="G1" s="224"/>
      <c r="H1" s="224"/>
    </row>
    <row r="2" spans="1:8" x14ac:dyDescent="0.3">
      <c r="A2" s="225" t="s">
        <v>1</v>
      </c>
      <c r="B2" s="225"/>
      <c r="C2" s="225"/>
      <c r="D2" s="225"/>
      <c r="E2" s="225"/>
      <c r="F2" s="225"/>
      <c r="G2" s="225"/>
      <c r="H2" s="225"/>
    </row>
    <row r="3" spans="1:8" x14ac:dyDescent="0.3">
      <c r="A3" s="2"/>
      <c r="B3" s="2"/>
      <c r="C3" s="2"/>
      <c r="D3" s="2"/>
      <c r="E3" s="2"/>
      <c r="F3" s="2"/>
      <c r="G3" s="2"/>
      <c r="H3" s="2"/>
    </row>
    <row r="5" spans="1:8" x14ac:dyDescent="0.3">
      <c r="A5" s="226" t="s">
        <v>64</v>
      </c>
      <c r="B5" s="226"/>
      <c r="C5" s="226"/>
      <c r="D5" s="226"/>
      <c r="E5" s="226"/>
      <c r="F5" s="226"/>
      <c r="G5" s="226"/>
      <c r="H5" s="226"/>
    </row>
    <row r="6" spans="1:8" x14ac:dyDescent="0.3">
      <c r="A6" s="224" t="s">
        <v>2</v>
      </c>
      <c r="B6" s="224"/>
      <c r="C6" s="224"/>
      <c r="D6" s="224"/>
      <c r="E6" s="224"/>
      <c r="F6" s="224"/>
      <c r="G6" s="224"/>
      <c r="H6" s="224"/>
    </row>
    <row r="7" spans="1:8" x14ac:dyDescent="0.3">
      <c r="A7" s="8"/>
      <c r="B7" s="8"/>
      <c r="C7" s="8"/>
      <c r="D7" s="8"/>
      <c r="E7" s="8"/>
      <c r="F7" s="8"/>
      <c r="G7" s="8"/>
      <c r="H7" s="8"/>
    </row>
    <row r="9" spans="1:8" s="44" customFormat="1" ht="56" x14ac:dyDescent="0.25">
      <c r="A9" s="41"/>
      <c r="B9" s="42" t="s">
        <v>38</v>
      </c>
      <c r="C9" s="43" t="s">
        <v>65</v>
      </c>
      <c r="D9" s="43" t="s">
        <v>66</v>
      </c>
      <c r="E9" s="43" t="s">
        <v>67</v>
      </c>
      <c r="F9" s="43" t="s">
        <v>68</v>
      </c>
      <c r="G9" s="43" t="s">
        <v>69</v>
      </c>
      <c r="H9" s="42" t="s">
        <v>70</v>
      </c>
    </row>
    <row r="10" spans="1:8" hidden="1" x14ac:dyDescent="0.3">
      <c r="A10" s="45" t="s">
        <v>71</v>
      </c>
      <c r="B10" s="46">
        <v>8979007</v>
      </c>
      <c r="C10" s="47"/>
      <c r="D10" s="47"/>
      <c r="E10" s="47"/>
      <c r="F10" s="47"/>
      <c r="G10" s="47">
        <v>7253611</v>
      </c>
      <c r="H10" s="46">
        <f>B10+E10+F10+G10</f>
        <v>16232618</v>
      </c>
    </row>
    <row r="11" spans="1:8" hidden="1" x14ac:dyDescent="0.3">
      <c r="A11" s="48"/>
      <c r="B11" s="49"/>
      <c r="C11" s="50"/>
      <c r="D11" s="50"/>
      <c r="E11" s="50"/>
      <c r="F11" s="50"/>
      <c r="G11" s="50"/>
      <c r="H11" s="49"/>
    </row>
    <row r="12" spans="1:8" hidden="1" x14ac:dyDescent="0.3">
      <c r="A12" s="51" t="s">
        <v>72</v>
      </c>
      <c r="B12" s="49">
        <v>1426542</v>
      </c>
      <c r="C12" s="50"/>
      <c r="D12" s="50"/>
      <c r="E12" s="50"/>
      <c r="F12" s="50"/>
      <c r="G12" s="50"/>
      <c r="H12" s="49">
        <f>SUM(B12:G12)</f>
        <v>1426542</v>
      </c>
    </row>
    <row r="13" spans="1:8" hidden="1" x14ac:dyDescent="0.3">
      <c r="A13" s="51" t="s">
        <v>73</v>
      </c>
      <c r="B13" s="49">
        <v>2916752</v>
      </c>
      <c r="C13" s="50"/>
      <c r="D13" s="50"/>
      <c r="E13" s="50"/>
      <c r="F13" s="50"/>
      <c r="G13" s="50">
        <v>-2916752</v>
      </c>
      <c r="H13" s="49">
        <f>SUM(B13:G13)</f>
        <v>0</v>
      </c>
    </row>
    <row r="14" spans="1:8" hidden="1" x14ac:dyDescent="0.3">
      <c r="A14" s="52" t="s">
        <v>74</v>
      </c>
      <c r="B14" s="49"/>
      <c r="C14" s="50"/>
      <c r="D14" s="50"/>
      <c r="E14" s="50"/>
      <c r="F14" s="50">
        <v>559355</v>
      </c>
      <c r="G14" s="50"/>
      <c r="H14" s="49">
        <f>SUM(B14:G14)</f>
        <v>559355</v>
      </c>
    </row>
    <row r="15" spans="1:8" hidden="1" x14ac:dyDescent="0.3">
      <c r="A15" s="52" t="s">
        <v>75</v>
      </c>
      <c r="B15" s="49"/>
      <c r="C15" s="50"/>
      <c r="D15" s="50"/>
      <c r="E15" s="50"/>
      <c r="F15" s="50"/>
      <c r="G15" s="50"/>
      <c r="H15" s="49"/>
    </row>
    <row r="16" spans="1:8" hidden="1" x14ac:dyDescent="0.3">
      <c r="A16" s="48" t="s">
        <v>76</v>
      </c>
      <c r="B16" s="49"/>
      <c r="C16" s="50"/>
      <c r="D16" s="50"/>
      <c r="E16" s="50"/>
      <c r="F16" s="50"/>
      <c r="G16" s="50">
        <v>-4336859</v>
      </c>
      <c r="H16" s="49">
        <f>SUM(B16:G16)</f>
        <v>-4336859</v>
      </c>
    </row>
    <row r="17" spans="1:8" hidden="1" x14ac:dyDescent="0.3">
      <c r="A17" s="48" t="s">
        <v>77</v>
      </c>
      <c r="B17" s="49"/>
      <c r="C17" s="50"/>
      <c r="D17" s="50"/>
      <c r="E17" s="50"/>
      <c r="F17" s="50">
        <v>-22361</v>
      </c>
      <c r="G17" s="50">
        <v>22361</v>
      </c>
      <c r="H17" s="49">
        <f>SUM(B17:G17)</f>
        <v>0</v>
      </c>
    </row>
    <row r="18" spans="1:8" hidden="1" x14ac:dyDescent="0.3">
      <c r="A18" s="51" t="s">
        <v>78</v>
      </c>
      <c r="B18" s="49"/>
      <c r="C18" s="50"/>
      <c r="D18" s="50"/>
      <c r="E18" s="50"/>
      <c r="F18" s="50"/>
      <c r="G18" s="50">
        <v>5554132</v>
      </c>
      <c r="H18" s="49">
        <f>SUM(B18:G18)</f>
        <v>5554132</v>
      </c>
    </row>
    <row r="19" spans="1:8" hidden="1" x14ac:dyDescent="0.3">
      <c r="A19" s="51" t="s">
        <v>79</v>
      </c>
      <c r="B19" s="53"/>
      <c r="C19" s="54">
        <v>750000</v>
      </c>
      <c r="D19" s="54">
        <v>1666240</v>
      </c>
      <c r="E19" s="54">
        <f>4637892-750000-1666240</f>
        <v>2221652</v>
      </c>
      <c r="F19" s="54"/>
      <c r="G19" s="54">
        <v>-4637892</v>
      </c>
      <c r="H19" s="53">
        <f>SUM(B19:G19)</f>
        <v>0</v>
      </c>
    </row>
    <row r="20" spans="1:8" ht="18.75" hidden="1" customHeight="1" thickBot="1" x14ac:dyDescent="0.35">
      <c r="A20" s="55" t="s">
        <v>80</v>
      </c>
      <c r="B20" s="56">
        <f>SUM(B10:B19)</f>
        <v>13322301</v>
      </c>
      <c r="C20" s="57">
        <v>750000</v>
      </c>
      <c r="D20" s="57">
        <f>SUM(D19)</f>
        <v>1666240</v>
      </c>
      <c r="E20" s="57">
        <f>SUM(E10:E19)</f>
        <v>2221652</v>
      </c>
      <c r="F20" s="57">
        <f>SUM(F10:F19)</f>
        <v>536994</v>
      </c>
      <c r="G20" s="57">
        <f>SUM(G10:G19)</f>
        <v>938601</v>
      </c>
      <c r="H20" s="56">
        <f>SUM(H10:H19)</f>
        <v>19435788</v>
      </c>
    </row>
    <row r="21" spans="1:8" hidden="1" x14ac:dyDescent="0.3">
      <c r="A21" s="48" t="s">
        <v>72</v>
      </c>
      <c r="B21" s="49"/>
      <c r="C21" s="50"/>
      <c r="D21" s="50"/>
      <c r="E21" s="50"/>
      <c r="F21" s="50"/>
      <c r="G21" s="50"/>
      <c r="H21" s="49">
        <f t="shared" ref="H21:H31" si="0">SUM(B21:G21)</f>
        <v>0</v>
      </c>
    </row>
    <row r="22" spans="1:8" hidden="1" x14ac:dyDescent="0.3">
      <c r="A22" s="51" t="s">
        <v>73</v>
      </c>
      <c r="B22" s="49">
        <f>938600.13+1682881.48</f>
        <v>2621481.61</v>
      </c>
      <c r="C22" s="50"/>
      <c r="D22" s="50"/>
      <c r="E22" s="50"/>
      <c r="F22" s="50"/>
      <c r="G22" s="50">
        <f>-938600.13-1682881.48</f>
        <v>-2621481.61</v>
      </c>
      <c r="H22" s="49">
        <f t="shared" si="0"/>
        <v>0</v>
      </c>
    </row>
    <row r="23" spans="1:8" hidden="1" x14ac:dyDescent="0.3">
      <c r="A23" s="52" t="s">
        <v>74</v>
      </c>
      <c r="B23" s="49"/>
      <c r="C23" s="50"/>
      <c r="D23" s="50"/>
      <c r="E23" s="50"/>
      <c r="F23" s="50"/>
      <c r="G23" s="50"/>
      <c r="H23" s="49">
        <f t="shared" si="0"/>
        <v>0</v>
      </c>
    </row>
    <row r="24" spans="1:8" hidden="1" x14ac:dyDescent="0.3">
      <c r="A24" s="52" t="s">
        <v>75</v>
      </c>
      <c r="B24" s="49"/>
      <c r="C24" s="50"/>
      <c r="D24" s="50"/>
      <c r="E24" s="50"/>
      <c r="F24" s="50"/>
      <c r="G24" s="50"/>
      <c r="H24" s="49">
        <f t="shared" si="0"/>
        <v>0</v>
      </c>
    </row>
    <row r="25" spans="1:8" hidden="1" x14ac:dyDescent="0.3">
      <c r="A25" s="48" t="s">
        <v>76</v>
      </c>
      <c r="B25" s="49"/>
      <c r="C25" s="50"/>
      <c r="D25" s="50"/>
      <c r="E25" s="50"/>
      <c r="F25" s="50"/>
      <c r="G25" s="50"/>
      <c r="H25" s="49">
        <f t="shared" si="0"/>
        <v>0</v>
      </c>
    </row>
    <row r="26" spans="1:8" hidden="1" x14ac:dyDescent="0.3">
      <c r="A26" s="48" t="s">
        <v>77</v>
      </c>
      <c r="B26" s="49"/>
      <c r="C26" s="50">
        <v>-250000</v>
      </c>
      <c r="D26" s="50">
        <v>-1666240</v>
      </c>
      <c r="E26" s="50">
        <v>-2221652</v>
      </c>
      <c r="F26" s="50">
        <f>-9317.1-13043.94</f>
        <v>-22361.040000000001</v>
      </c>
      <c r="G26" s="50"/>
      <c r="H26" s="49">
        <f t="shared" si="0"/>
        <v>-4160253.04</v>
      </c>
    </row>
    <row r="27" spans="1:8" hidden="1" x14ac:dyDescent="0.3">
      <c r="A27" s="51" t="s">
        <v>78</v>
      </c>
      <c r="B27" s="49"/>
      <c r="C27" s="50"/>
      <c r="D27" s="50"/>
      <c r="E27" s="50"/>
      <c r="F27" s="58"/>
      <c r="G27" s="50">
        <v>5609604</v>
      </c>
      <c r="H27" s="49">
        <f t="shared" si="0"/>
        <v>5609604</v>
      </c>
    </row>
    <row r="28" spans="1:8" hidden="1" x14ac:dyDescent="0.3">
      <c r="A28" s="51" t="s">
        <v>79</v>
      </c>
      <c r="B28" s="49"/>
      <c r="C28" s="50"/>
      <c r="D28" s="50">
        <v>1682881</v>
      </c>
      <c r="E28" s="50">
        <f>3926723.5-1682881.5</f>
        <v>2243842</v>
      </c>
      <c r="F28" s="50"/>
      <c r="G28" s="50"/>
      <c r="H28" s="49">
        <f t="shared" si="0"/>
        <v>3926723</v>
      </c>
    </row>
    <row r="29" spans="1:8" hidden="1" x14ac:dyDescent="0.3">
      <c r="A29" s="51" t="s">
        <v>81</v>
      </c>
      <c r="B29" s="49"/>
      <c r="C29" s="50"/>
      <c r="D29" s="50"/>
      <c r="E29" s="50"/>
      <c r="F29" s="50"/>
      <c r="G29" s="50"/>
      <c r="H29" s="49">
        <f t="shared" si="0"/>
        <v>0</v>
      </c>
    </row>
    <row r="30" spans="1:8" hidden="1" x14ac:dyDescent="0.3">
      <c r="A30" s="51" t="s">
        <v>82</v>
      </c>
      <c r="B30" s="49"/>
      <c r="C30" s="50"/>
      <c r="D30" s="50"/>
      <c r="E30" s="58"/>
      <c r="F30" s="50"/>
      <c r="G30" s="50">
        <v>-2243842</v>
      </c>
      <c r="H30" s="49">
        <f t="shared" si="0"/>
        <v>-2243842</v>
      </c>
    </row>
    <row r="31" spans="1:8" hidden="1" x14ac:dyDescent="0.3">
      <c r="A31" s="51" t="s">
        <v>83</v>
      </c>
      <c r="B31" s="53"/>
      <c r="C31" s="54"/>
      <c r="D31" s="54"/>
      <c r="E31" s="54"/>
      <c r="F31" s="54"/>
      <c r="G31" s="54"/>
      <c r="H31" s="53">
        <f t="shared" si="0"/>
        <v>0</v>
      </c>
    </row>
    <row r="32" spans="1:8" ht="18.75" hidden="1" customHeight="1" thickBot="1" x14ac:dyDescent="0.35">
      <c r="A32" s="55" t="s">
        <v>84</v>
      </c>
      <c r="B32" s="59">
        <f t="shared" ref="B32:G32" si="1">SUM(B20:B31)</f>
        <v>15943782.609999999</v>
      </c>
      <c r="C32" s="60">
        <f t="shared" si="1"/>
        <v>500000</v>
      </c>
      <c r="D32" s="60">
        <f t="shared" si="1"/>
        <v>1682881</v>
      </c>
      <c r="E32" s="60">
        <f t="shared" si="1"/>
        <v>2243842</v>
      </c>
      <c r="F32" s="60">
        <f t="shared" si="1"/>
        <v>514632.96000000002</v>
      </c>
      <c r="G32" s="60">
        <f t="shared" si="1"/>
        <v>1682881.3900000001</v>
      </c>
      <c r="H32" s="59">
        <f>SUM(H20:H31)+1</f>
        <v>22568020.960000001</v>
      </c>
    </row>
    <row r="33" spans="1:8" hidden="1" x14ac:dyDescent="0.3">
      <c r="A33" s="48" t="s">
        <v>72</v>
      </c>
      <c r="B33" s="49">
        <v>-74585</v>
      </c>
      <c r="C33" s="50"/>
      <c r="D33" s="50"/>
      <c r="E33" s="50"/>
      <c r="F33" s="50"/>
      <c r="G33" s="50"/>
      <c r="H33" s="49">
        <f>SUM(B33:G33)</f>
        <v>-74585</v>
      </c>
    </row>
    <row r="34" spans="1:8" hidden="1" x14ac:dyDescent="0.3">
      <c r="A34" s="51" t="s">
        <v>73</v>
      </c>
      <c r="B34" s="49">
        <v>1621747</v>
      </c>
      <c r="C34" s="50"/>
      <c r="D34" s="50"/>
      <c r="E34" s="50"/>
      <c r="F34" s="50"/>
      <c r="G34" s="50">
        <v>-1621747</v>
      </c>
      <c r="H34" s="49">
        <f>SUM(B34:G34)</f>
        <v>0</v>
      </c>
    </row>
    <row r="35" spans="1:8" hidden="1" x14ac:dyDescent="0.3">
      <c r="A35" s="52" t="s">
        <v>74</v>
      </c>
      <c r="B35" s="49"/>
      <c r="C35" s="50"/>
      <c r="D35" s="50"/>
      <c r="E35" s="50"/>
      <c r="F35" s="50"/>
      <c r="G35" s="50"/>
      <c r="H35" s="49"/>
    </row>
    <row r="36" spans="1:8" hidden="1" x14ac:dyDescent="0.3">
      <c r="A36" s="52" t="s">
        <v>75</v>
      </c>
      <c r="B36" s="49"/>
      <c r="C36" s="50"/>
      <c r="D36" s="50"/>
      <c r="E36" s="50"/>
      <c r="F36" s="50"/>
      <c r="G36" s="50"/>
      <c r="H36" s="49"/>
    </row>
    <row r="37" spans="1:8" hidden="1" x14ac:dyDescent="0.3">
      <c r="A37" s="48" t="s">
        <v>76</v>
      </c>
      <c r="B37" s="49"/>
      <c r="C37" s="50"/>
      <c r="D37" s="50"/>
      <c r="E37" s="50"/>
      <c r="F37" s="50"/>
      <c r="G37" s="50"/>
      <c r="H37" s="49"/>
    </row>
    <row r="38" spans="1:8" hidden="1" x14ac:dyDescent="0.3">
      <c r="A38" s="48" t="s">
        <v>77</v>
      </c>
      <c r="B38" s="49"/>
      <c r="C38" s="50">
        <v>-250000</v>
      </c>
      <c r="D38" s="50">
        <v>-1682881</v>
      </c>
      <c r="E38" s="50">
        <v>-2243842</v>
      </c>
      <c r="F38" s="50">
        <v>-29498.07</v>
      </c>
      <c r="G38" s="50"/>
      <c r="H38" s="49">
        <f>SUM(B38:G38)</f>
        <v>-4206221.07</v>
      </c>
    </row>
    <row r="39" spans="1:8" hidden="1" x14ac:dyDescent="0.3">
      <c r="A39" s="51" t="s">
        <v>78</v>
      </c>
      <c r="B39" s="49"/>
      <c r="C39" s="50"/>
      <c r="D39" s="50"/>
      <c r="E39" s="50"/>
      <c r="F39" s="58"/>
      <c r="G39" s="50">
        <v>5405819</v>
      </c>
      <c r="H39" s="49">
        <f>SUM(B39:G39)</f>
        <v>5405819</v>
      </c>
    </row>
    <row r="40" spans="1:8" hidden="1" x14ac:dyDescent="0.3">
      <c r="A40" s="51" t="s">
        <v>79</v>
      </c>
      <c r="B40" s="53"/>
      <c r="C40" s="54"/>
      <c r="D40" s="54">
        <v>1621745.44</v>
      </c>
      <c r="E40" s="54">
        <v>2162327.2599999998</v>
      </c>
      <c r="F40" s="54"/>
      <c r="G40" s="54">
        <f>-(1621745.44+2162327.26)+1</f>
        <v>-3784071.6999999997</v>
      </c>
      <c r="H40" s="53"/>
    </row>
    <row r="41" spans="1:8" ht="14.5" hidden="1" thickBot="1" x14ac:dyDescent="0.35">
      <c r="A41" s="61" t="s">
        <v>85</v>
      </c>
      <c r="B41" s="59">
        <f t="shared" ref="B41:G41" si="2">SUM(B32:B40)</f>
        <v>17490944.609999999</v>
      </c>
      <c r="C41" s="60">
        <f t="shared" si="2"/>
        <v>250000</v>
      </c>
      <c r="D41" s="60">
        <f t="shared" si="2"/>
        <v>1621745.44</v>
      </c>
      <c r="E41" s="60">
        <f t="shared" si="2"/>
        <v>2162327.2599999998</v>
      </c>
      <c r="F41" s="60">
        <f t="shared" si="2"/>
        <v>485134.89</v>
      </c>
      <c r="G41" s="60">
        <f t="shared" si="2"/>
        <v>1682881.6900000009</v>
      </c>
      <c r="H41" s="59">
        <f>SUM(B41:G41)</f>
        <v>23693033.890000004</v>
      </c>
    </row>
    <row r="42" spans="1:8" ht="14.5" hidden="1" thickTop="1" x14ac:dyDescent="0.3">
      <c r="A42" s="48" t="s">
        <v>72</v>
      </c>
      <c r="B42" s="62">
        <v>15522</v>
      </c>
      <c r="C42" s="63"/>
      <c r="D42" s="63"/>
      <c r="E42" s="63"/>
      <c r="F42" s="63"/>
      <c r="G42" s="63"/>
      <c r="H42" s="62">
        <f>SUM(B42:G42)</f>
        <v>15522</v>
      </c>
    </row>
    <row r="43" spans="1:8" hidden="1" x14ac:dyDescent="0.3">
      <c r="A43" s="48" t="s">
        <v>77</v>
      </c>
      <c r="B43" s="64"/>
      <c r="C43" s="50">
        <v>-250000</v>
      </c>
      <c r="D43" s="50">
        <v>-1621745.44</v>
      </c>
      <c r="E43" s="50">
        <v>-2162327.2599999998</v>
      </c>
      <c r="F43" s="50">
        <v>-24740.04</v>
      </c>
      <c r="G43" s="65"/>
      <c r="H43" s="49">
        <f>SUM(B43:G43)</f>
        <v>-4058812.7399999998</v>
      </c>
    </row>
    <row r="44" spans="1:8" hidden="1" x14ac:dyDescent="0.3">
      <c r="A44" s="51" t="s">
        <v>78</v>
      </c>
      <c r="B44" s="64"/>
      <c r="C44" s="65"/>
      <c r="D44" s="65"/>
      <c r="E44" s="65"/>
      <c r="F44" s="65"/>
      <c r="G44" s="50">
        <v>4113101</v>
      </c>
      <c r="H44" s="49">
        <f>SUM(B44:G44)</f>
        <v>4113101</v>
      </c>
    </row>
    <row r="45" spans="1:8" hidden="1" x14ac:dyDescent="0.3">
      <c r="A45" s="51" t="s">
        <v>86</v>
      </c>
      <c r="B45" s="64"/>
      <c r="C45" s="65"/>
      <c r="D45" s="50">
        <v>1233930</v>
      </c>
      <c r="E45" s="50">
        <v>1645241</v>
      </c>
      <c r="F45" s="65"/>
      <c r="G45" s="50">
        <v>-2879171</v>
      </c>
      <c r="H45" s="64">
        <f>SUM(B45:G45)</f>
        <v>0</v>
      </c>
    </row>
    <row r="46" spans="1:8" hidden="1" x14ac:dyDescent="0.3">
      <c r="A46" s="51" t="s">
        <v>73</v>
      </c>
      <c r="B46" s="49">
        <v>1233930</v>
      </c>
      <c r="C46" s="65"/>
      <c r="D46" s="50"/>
      <c r="E46" s="50"/>
      <c r="F46" s="65"/>
      <c r="G46" s="50">
        <v>-1233930</v>
      </c>
      <c r="H46" s="64"/>
    </row>
    <row r="47" spans="1:8" ht="14.5" hidden="1" thickBot="1" x14ac:dyDescent="0.35">
      <c r="A47" s="61" t="s">
        <v>87</v>
      </c>
      <c r="B47" s="59">
        <f t="shared" ref="B47:H47" si="3">SUM(B41:B46)</f>
        <v>18740396.609999999</v>
      </c>
      <c r="C47" s="59">
        <f t="shared" si="3"/>
        <v>0</v>
      </c>
      <c r="D47" s="59">
        <f t="shared" si="3"/>
        <v>1233930</v>
      </c>
      <c r="E47" s="59">
        <f t="shared" si="3"/>
        <v>1645241</v>
      </c>
      <c r="F47" s="59">
        <f t="shared" si="3"/>
        <v>460394.85000000003</v>
      </c>
      <c r="G47" s="59">
        <f t="shared" si="3"/>
        <v>1682881.6900000013</v>
      </c>
      <c r="H47" s="59">
        <f t="shared" si="3"/>
        <v>23762844.150000006</v>
      </c>
    </row>
    <row r="48" spans="1:8" ht="14.5" hidden="1" thickTop="1" x14ac:dyDescent="0.3">
      <c r="A48" s="48" t="s">
        <v>72</v>
      </c>
      <c r="B48" s="49">
        <v>22</v>
      </c>
      <c r="C48" s="50"/>
      <c r="D48" s="50"/>
      <c r="E48" s="50"/>
      <c r="F48" s="50"/>
      <c r="G48" s="50"/>
      <c r="H48" s="62">
        <f>SUM(B48:G48)</f>
        <v>22</v>
      </c>
    </row>
    <row r="49" spans="1:8" hidden="1" x14ac:dyDescent="0.3">
      <c r="A49" s="48" t="s">
        <v>77</v>
      </c>
      <c r="B49" s="49"/>
      <c r="C49" s="50"/>
      <c r="D49" s="50">
        <v>-1233930</v>
      </c>
      <c r="E49" s="50">
        <v>-1645241</v>
      </c>
      <c r="F49" s="50">
        <v>-24740.04</v>
      </c>
      <c r="G49" s="50"/>
      <c r="H49" s="49">
        <f>SUM(B49:G49)</f>
        <v>-2903911.04</v>
      </c>
    </row>
    <row r="50" spans="1:8" hidden="1" x14ac:dyDescent="0.3">
      <c r="A50" s="51" t="s">
        <v>78</v>
      </c>
      <c r="B50" s="49"/>
      <c r="C50" s="50"/>
      <c r="D50" s="50"/>
      <c r="E50" s="50"/>
      <c r="F50" s="50"/>
      <c r="G50" s="50">
        <v>4256267</v>
      </c>
      <c r="H50" s="49">
        <f>SUM(B50:G50)</f>
        <v>4256267</v>
      </c>
    </row>
    <row r="51" spans="1:8" hidden="1" x14ac:dyDescent="0.3">
      <c r="A51" s="51" t="s">
        <v>86</v>
      </c>
      <c r="B51" s="49"/>
      <c r="C51" s="50"/>
      <c r="D51" s="50">
        <v>1276880</v>
      </c>
      <c r="E51" s="50">
        <v>1702507</v>
      </c>
      <c r="F51" s="50"/>
      <c r="G51" s="50">
        <v>-2979387</v>
      </c>
      <c r="H51" s="49">
        <f>SUM(B51:G51)</f>
        <v>0</v>
      </c>
    </row>
    <row r="52" spans="1:8" hidden="1" x14ac:dyDescent="0.3">
      <c r="A52" s="51" t="s">
        <v>73</v>
      </c>
      <c r="B52" s="49">
        <v>1276880</v>
      </c>
      <c r="C52" s="50"/>
      <c r="D52" s="50"/>
      <c r="E52" s="50"/>
      <c r="F52" s="50"/>
      <c r="G52" s="50">
        <v>-1276880</v>
      </c>
      <c r="H52" s="49"/>
    </row>
    <row r="53" spans="1:8" ht="14.5" hidden="1" thickBot="1" x14ac:dyDescent="0.35">
      <c r="A53" s="66" t="s">
        <v>89</v>
      </c>
      <c r="B53" s="59">
        <v>14940113</v>
      </c>
      <c r="C53" s="60" t="e">
        <f>SUM(#REF!)</f>
        <v>#REF!</v>
      </c>
      <c r="D53" s="59">
        <v>737471</v>
      </c>
      <c r="E53" s="59">
        <v>983294</v>
      </c>
      <c r="F53" s="59">
        <v>410915</v>
      </c>
      <c r="G53" s="59">
        <v>0</v>
      </c>
      <c r="H53" s="59">
        <v>17071793</v>
      </c>
    </row>
    <row r="54" spans="1:8" hidden="1" x14ac:dyDescent="0.3">
      <c r="A54" s="110" t="s">
        <v>88</v>
      </c>
      <c r="B54" s="49">
        <v>22229</v>
      </c>
      <c r="C54" s="30"/>
      <c r="D54" s="50"/>
      <c r="E54" s="49"/>
      <c r="F54" s="49"/>
      <c r="G54" s="49"/>
      <c r="H54" s="49">
        <f t="shared" ref="H54:H60" si="4">SUM(B54:G54)</f>
        <v>22229</v>
      </c>
    </row>
    <row r="55" spans="1:8" hidden="1" x14ac:dyDescent="0.3">
      <c r="A55" s="110" t="s">
        <v>97</v>
      </c>
      <c r="B55" s="49">
        <v>-349032</v>
      </c>
      <c r="C55" s="30"/>
      <c r="D55" s="50"/>
      <c r="E55" s="49"/>
      <c r="F55" s="49"/>
      <c r="G55" s="49"/>
      <c r="H55" s="49">
        <f t="shared" si="4"/>
        <v>-349032</v>
      </c>
    </row>
    <row r="56" spans="1:8" hidden="1" x14ac:dyDescent="0.3">
      <c r="A56" s="48" t="s">
        <v>77</v>
      </c>
      <c r="B56" s="49"/>
      <c r="C56" s="30"/>
      <c r="D56" s="50">
        <v>-737471</v>
      </c>
      <c r="E56" s="49">
        <v>-983294</v>
      </c>
      <c r="F56" s="49">
        <v>-24740</v>
      </c>
      <c r="G56" s="49"/>
      <c r="H56" s="49">
        <f t="shared" si="4"/>
        <v>-1745505</v>
      </c>
    </row>
    <row r="57" spans="1:8" hidden="1" x14ac:dyDescent="0.3">
      <c r="A57" s="51" t="s">
        <v>78</v>
      </c>
      <c r="B57" s="49"/>
      <c r="C57" s="30"/>
      <c r="D57" s="50"/>
      <c r="E57" s="49"/>
      <c r="F57" s="49"/>
      <c r="G57" s="49">
        <v>1841566</v>
      </c>
      <c r="H57" s="49">
        <f t="shared" si="4"/>
        <v>1841566</v>
      </c>
    </row>
    <row r="58" spans="1:8" hidden="1" x14ac:dyDescent="0.3">
      <c r="A58" s="51" t="s">
        <v>86</v>
      </c>
      <c r="B58" s="49"/>
      <c r="C58" s="30"/>
      <c r="D58" s="50">
        <v>552470</v>
      </c>
      <c r="E58" s="49">
        <v>736626</v>
      </c>
      <c r="F58" s="49"/>
      <c r="G58" s="49">
        <v>-1289096</v>
      </c>
      <c r="H58" s="49">
        <f t="shared" si="4"/>
        <v>0</v>
      </c>
    </row>
    <row r="59" spans="1:8" hidden="1" x14ac:dyDescent="0.3">
      <c r="A59" s="51" t="s">
        <v>73</v>
      </c>
      <c r="B59" s="53">
        <v>552470</v>
      </c>
      <c r="C59" s="71"/>
      <c r="D59" s="54"/>
      <c r="E59" s="53"/>
      <c r="F59" s="53"/>
      <c r="G59" s="53">
        <v>-552470</v>
      </c>
      <c r="H59" s="49">
        <f t="shared" si="4"/>
        <v>0</v>
      </c>
    </row>
    <row r="60" spans="1:8" ht="14.5" thickBot="1" x14ac:dyDescent="0.35">
      <c r="A60" s="61" t="s">
        <v>92</v>
      </c>
      <c r="B60" s="59">
        <f>SUM(B53:B59)</f>
        <v>15165780</v>
      </c>
      <c r="C60" s="60"/>
      <c r="D60" s="59">
        <f>SUM(D53:D59)</f>
        <v>552470</v>
      </c>
      <c r="E60" s="59">
        <f>SUM(E53:E59)</f>
        <v>736626</v>
      </c>
      <c r="F60" s="59">
        <f>SUM(F53:F59)</f>
        <v>386175</v>
      </c>
      <c r="G60" s="59">
        <f>SUM(G54:G59)</f>
        <v>0</v>
      </c>
      <c r="H60" s="59">
        <f t="shared" si="4"/>
        <v>16841051</v>
      </c>
    </row>
    <row r="61" spans="1:8" ht="14.5" thickTop="1" x14ac:dyDescent="0.3">
      <c r="A61" s="110" t="s">
        <v>88</v>
      </c>
      <c r="B61" s="49">
        <v>34150</v>
      </c>
      <c r="C61" s="30"/>
      <c r="D61" s="108"/>
      <c r="E61" s="49"/>
      <c r="F61" s="30"/>
      <c r="G61" s="49"/>
      <c r="H61" s="49">
        <f>B61</f>
        <v>34150</v>
      </c>
    </row>
    <row r="62" spans="1:8" x14ac:dyDescent="0.3">
      <c r="A62" s="110" t="s">
        <v>97</v>
      </c>
      <c r="B62" s="49">
        <v>-32556</v>
      </c>
      <c r="C62" s="30"/>
      <c r="D62" s="108"/>
      <c r="E62" s="49"/>
      <c r="F62" s="30"/>
      <c r="G62" s="49"/>
      <c r="H62" s="49">
        <f>B62</f>
        <v>-32556</v>
      </c>
    </row>
    <row r="63" spans="1:8" x14ac:dyDescent="0.3">
      <c r="A63" s="48" t="s">
        <v>77</v>
      </c>
      <c r="B63" s="49"/>
      <c r="C63" s="30"/>
      <c r="D63" s="108">
        <v>-552470</v>
      </c>
      <c r="E63" s="49">
        <v>-736626</v>
      </c>
      <c r="F63" s="30">
        <v>-24741</v>
      </c>
      <c r="G63" s="49"/>
      <c r="H63" s="49">
        <f>D63+E63+F63</f>
        <v>-1313837</v>
      </c>
    </row>
    <row r="64" spans="1:8" x14ac:dyDescent="0.3">
      <c r="A64" s="51" t="s">
        <v>78</v>
      </c>
      <c r="B64" s="49"/>
      <c r="C64" s="30"/>
      <c r="D64" s="108"/>
      <c r="E64" s="49"/>
      <c r="F64" s="30"/>
      <c r="G64" s="49">
        <v>4972796</v>
      </c>
      <c r="H64" s="49">
        <f>G64</f>
        <v>4972796</v>
      </c>
    </row>
    <row r="65" spans="1:9" x14ac:dyDescent="0.3">
      <c r="A65" s="51" t="s">
        <v>86</v>
      </c>
      <c r="B65" s="49"/>
      <c r="C65" s="30"/>
      <c r="D65" s="108">
        <v>1491839</v>
      </c>
      <c r="E65" s="49">
        <v>1989118</v>
      </c>
      <c r="F65" s="30"/>
      <c r="G65" s="49">
        <f>-(D65+E65)</f>
        <v>-3480957</v>
      </c>
      <c r="H65" s="49"/>
    </row>
    <row r="66" spans="1:9" x14ac:dyDescent="0.3">
      <c r="A66" s="51" t="s">
        <v>73</v>
      </c>
      <c r="B66" s="49">
        <v>1491839</v>
      </c>
      <c r="C66" s="30"/>
      <c r="D66" s="108"/>
      <c r="E66" s="49"/>
      <c r="F66" s="30"/>
      <c r="G66" s="49">
        <f>-B66</f>
        <v>-1491839</v>
      </c>
      <c r="H66" s="49"/>
    </row>
    <row r="67" spans="1:9" x14ac:dyDescent="0.3">
      <c r="A67" s="52" t="s">
        <v>98</v>
      </c>
      <c r="B67" s="49">
        <v>9105594</v>
      </c>
      <c r="C67" s="30"/>
      <c r="D67" s="108"/>
      <c r="E67" s="49"/>
      <c r="F67" s="30"/>
      <c r="G67" s="49"/>
      <c r="H67" s="49">
        <f>B67</f>
        <v>9105594</v>
      </c>
    </row>
    <row r="68" spans="1:9" ht="14.5" thickBot="1" x14ac:dyDescent="0.35">
      <c r="A68" s="61" t="s">
        <v>99</v>
      </c>
      <c r="B68" s="59">
        <f>SUM(B60:B67)</f>
        <v>25764807</v>
      </c>
      <c r="C68" s="109"/>
      <c r="D68" s="174">
        <f>D65</f>
        <v>1491839</v>
      </c>
      <c r="E68" s="56">
        <f>E65</f>
        <v>1989118</v>
      </c>
      <c r="F68" s="175">
        <f>F60+F63</f>
        <v>361434</v>
      </c>
      <c r="G68" s="173">
        <v>0</v>
      </c>
      <c r="H68" s="59">
        <f>B68+D68+E68+F68</f>
        <v>29607198</v>
      </c>
    </row>
    <row r="69" spans="1:9" ht="14.5" thickTop="1" x14ac:dyDescent="0.3">
      <c r="A69" s="110" t="s">
        <v>88</v>
      </c>
      <c r="B69" s="49">
        <v>41105.54</v>
      </c>
      <c r="C69" s="64"/>
      <c r="D69" s="49"/>
      <c r="E69" s="30"/>
      <c r="F69" s="49"/>
      <c r="G69" s="35"/>
      <c r="H69" s="49">
        <f>B69</f>
        <v>41105.54</v>
      </c>
    </row>
    <row r="70" spans="1:9" x14ac:dyDescent="0.3">
      <c r="A70" s="110" t="s">
        <v>97</v>
      </c>
      <c r="B70" s="49">
        <v>-39422</v>
      </c>
      <c r="C70" s="64"/>
      <c r="D70" s="49"/>
      <c r="E70" s="30"/>
      <c r="F70" s="49"/>
      <c r="G70" s="35"/>
      <c r="H70" s="49">
        <f>B70</f>
        <v>-39422</v>
      </c>
    </row>
    <row r="71" spans="1:9" x14ac:dyDescent="0.3">
      <c r="A71" s="48" t="s">
        <v>77</v>
      </c>
      <c r="B71" s="171"/>
      <c r="C71" s="64"/>
      <c r="D71" s="49">
        <v>-1491839</v>
      </c>
      <c r="E71" s="30">
        <v>-1989118</v>
      </c>
      <c r="F71" s="49">
        <v>-24740.06</v>
      </c>
      <c r="G71" s="35"/>
      <c r="H71" s="49">
        <f>D71+E71+F71</f>
        <v>-3505697.06</v>
      </c>
    </row>
    <row r="72" spans="1:9" x14ac:dyDescent="0.3">
      <c r="A72" s="51" t="s">
        <v>78</v>
      </c>
      <c r="B72" s="171"/>
      <c r="C72" s="64"/>
      <c r="D72" s="49"/>
      <c r="E72" s="30"/>
      <c r="F72" s="49"/>
      <c r="G72" s="30">
        <v>3871609</v>
      </c>
      <c r="H72" s="49">
        <f>G72</f>
        <v>3871609</v>
      </c>
      <c r="I72" s="128"/>
    </row>
    <row r="73" spans="1:9" x14ac:dyDescent="0.3">
      <c r="A73" s="51" t="s">
        <v>86</v>
      </c>
      <c r="B73" s="171"/>
      <c r="C73" s="64"/>
      <c r="D73" s="49">
        <v>1161483</v>
      </c>
      <c r="E73" s="30">
        <v>1548643</v>
      </c>
      <c r="F73" s="49"/>
      <c r="G73" s="30">
        <f>-(D73+E73)</f>
        <v>-2710126</v>
      </c>
      <c r="H73" s="49">
        <f>D73+E73+G73</f>
        <v>0</v>
      </c>
    </row>
    <row r="74" spans="1:9" x14ac:dyDescent="0.3">
      <c r="A74" s="51" t="s">
        <v>73</v>
      </c>
      <c r="B74" s="49">
        <v>1161483</v>
      </c>
      <c r="C74" s="64"/>
      <c r="D74" s="49"/>
      <c r="E74" s="30"/>
      <c r="F74" s="49"/>
      <c r="G74" s="30">
        <f>-B74</f>
        <v>-1161483</v>
      </c>
      <c r="H74" s="49">
        <f>B74+G74</f>
        <v>0</v>
      </c>
    </row>
    <row r="75" spans="1:9" x14ac:dyDescent="0.3">
      <c r="A75" s="52" t="s">
        <v>145</v>
      </c>
      <c r="B75" s="53">
        <v>6000000</v>
      </c>
      <c r="C75" s="170"/>
      <c r="D75" s="53"/>
      <c r="E75" s="71"/>
      <c r="F75" s="53"/>
      <c r="G75" s="126"/>
      <c r="H75" s="53">
        <v>6000000</v>
      </c>
    </row>
    <row r="76" spans="1:9" ht="14.5" thickBot="1" x14ac:dyDescent="0.35">
      <c r="A76" s="61" t="s">
        <v>146</v>
      </c>
      <c r="B76" s="59">
        <f>SUM(B68:B75)</f>
        <v>32927973.539999999</v>
      </c>
      <c r="C76" s="173"/>
      <c r="D76" s="57">
        <f>SUM(D68:D75)</f>
        <v>1161483</v>
      </c>
      <c r="E76" s="57">
        <f>SUM(E68:E75)</f>
        <v>1548643</v>
      </c>
      <c r="F76" s="57">
        <f>SUM(F68:F75)+1</f>
        <v>336694.94</v>
      </c>
      <c r="G76" s="127">
        <f>SUM(G68:G75)</f>
        <v>0</v>
      </c>
      <c r="H76" s="60">
        <f>B76+D76+E76+F76+G76+1</f>
        <v>35974795.479999997</v>
      </c>
      <c r="I76" s="128"/>
    </row>
    <row r="77" spans="1:9" ht="14.5" thickTop="1" x14ac:dyDescent="0.3">
      <c r="A77" s="110" t="s">
        <v>88</v>
      </c>
      <c r="B77" s="49">
        <v>1321</v>
      </c>
      <c r="C77" s="64"/>
      <c r="D77" s="46"/>
      <c r="E77" s="124"/>
      <c r="F77" s="46"/>
      <c r="G77" s="123"/>
      <c r="H77" s="46">
        <f>B77</f>
        <v>1321</v>
      </c>
    </row>
    <row r="78" spans="1:9" hidden="1" x14ac:dyDescent="0.3">
      <c r="A78" s="110" t="s">
        <v>97</v>
      </c>
      <c r="B78" s="49">
        <v>0</v>
      </c>
      <c r="C78" s="64"/>
      <c r="D78" s="49"/>
      <c r="E78" s="30"/>
      <c r="F78" s="49"/>
      <c r="G78" s="35"/>
      <c r="H78" s="49">
        <f>B78</f>
        <v>0</v>
      </c>
    </row>
    <row r="79" spans="1:9" x14ac:dyDescent="0.3">
      <c r="A79" s="48" t="s">
        <v>77</v>
      </c>
      <c r="B79" s="171"/>
      <c r="C79" s="64"/>
      <c r="D79" s="49">
        <f>-D76</f>
        <v>-1161483</v>
      </c>
      <c r="E79" s="30">
        <f>-E73</f>
        <v>-1548643</v>
      </c>
      <c r="F79" s="49">
        <f>F71</f>
        <v>-24740.06</v>
      </c>
      <c r="G79" s="35"/>
      <c r="H79" s="49">
        <f>D79+E79+F79</f>
        <v>-2734866.06</v>
      </c>
    </row>
    <row r="80" spans="1:9" x14ac:dyDescent="0.3">
      <c r="A80" s="51" t="s">
        <v>198</v>
      </c>
      <c r="B80" s="172"/>
      <c r="C80" s="170"/>
      <c r="D80" s="49"/>
      <c r="E80" s="30"/>
      <c r="F80" s="49"/>
      <c r="G80" s="30">
        <f>[1]DRE!I34</f>
        <v>-3179002.6900000037</v>
      </c>
      <c r="H80" s="49">
        <f>G80</f>
        <v>-3179002.6900000037</v>
      </c>
    </row>
    <row r="81" spans="1:10" hidden="1" x14ac:dyDescent="0.3">
      <c r="A81" s="51" t="s">
        <v>86</v>
      </c>
      <c r="B81" s="125"/>
      <c r="C81" s="35"/>
      <c r="D81" s="49"/>
      <c r="E81" s="30"/>
      <c r="F81" s="49"/>
      <c r="G81" s="30">
        <f>-(D81+E81)</f>
        <v>0</v>
      </c>
      <c r="H81" s="49">
        <f>D81+E81+G81</f>
        <v>0</v>
      </c>
    </row>
    <row r="82" spans="1:10" hidden="1" x14ac:dyDescent="0.3">
      <c r="A82" s="51" t="s">
        <v>199</v>
      </c>
      <c r="B82" s="108"/>
      <c r="C82" s="35"/>
      <c r="D82" s="49"/>
      <c r="E82" s="30"/>
      <c r="F82" s="49"/>
      <c r="G82" s="30">
        <f>-B82</f>
        <v>0</v>
      </c>
      <c r="H82" s="49">
        <f>B82+G82</f>
        <v>0</v>
      </c>
    </row>
    <row r="83" spans="1:10" ht="14.5" thickBot="1" x14ac:dyDescent="0.35">
      <c r="A83" s="61" t="s">
        <v>197</v>
      </c>
      <c r="B83" s="59">
        <f>SUM(B76:B82)</f>
        <v>32929294.539999999</v>
      </c>
      <c r="C83" s="173"/>
      <c r="D83" s="56">
        <f>SUM(D76:D82)</f>
        <v>0</v>
      </c>
      <c r="E83" s="57">
        <f>SUM(E76:E82)</f>
        <v>0</v>
      </c>
      <c r="F83" s="57">
        <f>SUM(F76:F82)</f>
        <v>311954.88</v>
      </c>
      <c r="G83" s="57">
        <f>SUM(G76:G82)</f>
        <v>-3179002.6900000037</v>
      </c>
      <c r="H83" s="60">
        <f>B83+D83+E83+F83+G83</f>
        <v>30062246.729999993</v>
      </c>
    </row>
    <row r="84" spans="1:10" ht="14.5" hidden="1" thickTop="1" x14ac:dyDescent="0.3">
      <c r="A84" s="110" t="s">
        <v>88</v>
      </c>
      <c r="B84" s="49"/>
      <c r="C84" s="64"/>
      <c r="D84" s="49"/>
      <c r="E84" s="49"/>
      <c r="F84" s="49"/>
      <c r="G84" s="64"/>
      <c r="H84" s="50">
        <f>B84</f>
        <v>0</v>
      </c>
    </row>
    <row r="85" spans="1:10" ht="14.5" hidden="1" thickTop="1" x14ac:dyDescent="0.3">
      <c r="A85" s="110" t="s">
        <v>97</v>
      </c>
      <c r="B85" s="49">
        <v>0</v>
      </c>
      <c r="C85" s="64"/>
      <c r="D85" s="49"/>
      <c r="E85" s="49"/>
      <c r="F85" s="49"/>
      <c r="G85" s="64"/>
      <c r="H85" s="50">
        <f>B85</f>
        <v>0</v>
      </c>
    </row>
    <row r="86" spans="1:10" ht="14.5" thickTop="1" x14ac:dyDescent="0.3">
      <c r="A86" s="110" t="s">
        <v>88</v>
      </c>
      <c r="B86" s="49">
        <v>1922</v>
      </c>
      <c r="C86" s="64"/>
      <c r="D86" s="49"/>
      <c r="E86" s="49"/>
      <c r="F86" s="49"/>
      <c r="G86" s="64"/>
      <c r="H86" s="50">
        <f>B86</f>
        <v>1922</v>
      </c>
    </row>
    <row r="87" spans="1:10" x14ac:dyDescent="0.3">
      <c r="A87" s="48" t="s">
        <v>77</v>
      </c>
      <c r="B87" s="171"/>
      <c r="C87" s="64"/>
      <c r="D87" s="169"/>
      <c r="E87" s="169"/>
      <c r="F87" s="169">
        <v>-24741</v>
      </c>
      <c r="G87" s="64"/>
      <c r="H87" s="50">
        <f>D87+E87+F87</f>
        <v>-24741</v>
      </c>
    </row>
    <row r="88" spans="1:10" x14ac:dyDescent="0.3">
      <c r="A88" s="51" t="s">
        <v>198</v>
      </c>
      <c r="B88" s="171"/>
      <c r="C88" s="64"/>
      <c r="D88" s="49"/>
      <c r="E88" s="49"/>
      <c r="F88" s="49"/>
      <c r="G88" s="169">
        <v>-4445792.21</v>
      </c>
      <c r="H88" s="50">
        <f>G88</f>
        <v>-4445792.21</v>
      </c>
    </row>
    <row r="89" spans="1:10" x14ac:dyDescent="0.3">
      <c r="A89" s="51" t="s">
        <v>86</v>
      </c>
      <c r="B89" s="171"/>
      <c r="C89" s="64"/>
      <c r="D89" s="49"/>
      <c r="E89" s="49"/>
      <c r="F89" s="49">
        <v>2437807</v>
      </c>
      <c r="G89" s="49">
        <f>-(D89+E89)</f>
        <v>0</v>
      </c>
      <c r="H89" s="50">
        <f>F89</f>
        <v>2437807</v>
      </c>
    </row>
    <row r="90" spans="1:10" x14ac:dyDescent="0.3">
      <c r="A90" s="51" t="s">
        <v>226</v>
      </c>
      <c r="B90" s="49">
        <v>-92071</v>
      </c>
      <c r="C90" s="64"/>
      <c r="D90" s="49"/>
      <c r="E90" s="49"/>
      <c r="F90" s="49"/>
      <c r="G90" s="49"/>
      <c r="H90" s="50">
        <f>B90</f>
        <v>-92071</v>
      </c>
    </row>
    <row r="91" spans="1:10" x14ac:dyDescent="0.3">
      <c r="A91" s="51" t="s">
        <v>227</v>
      </c>
      <c r="B91" s="53">
        <f>-(742943+1922+2342066.9)</f>
        <v>-3086931.9</v>
      </c>
      <c r="C91" s="170"/>
      <c r="D91" s="53"/>
      <c r="E91" s="53"/>
      <c r="F91" s="53"/>
      <c r="G91" s="53">
        <v>3179003</v>
      </c>
      <c r="H91" s="50">
        <f>B91+G91</f>
        <v>92071.100000000093</v>
      </c>
    </row>
    <row r="92" spans="1:10" ht="14.5" thickBot="1" x14ac:dyDescent="0.35">
      <c r="A92" s="61" t="s">
        <v>204</v>
      </c>
      <c r="B92" s="59">
        <f>SUM(B83:B91)</f>
        <v>29752213.640000001</v>
      </c>
      <c r="C92" s="173"/>
      <c r="D92" s="57">
        <f>SUM(D83:D91)</f>
        <v>0</v>
      </c>
      <c r="E92" s="57">
        <f>SUM(E83:E91)</f>
        <v>0</v>
      </c>
      <c r="F92" s="57">
        <f>SUM(F83:F91)</f>
        <v>2725020.88</v>
      </c>
      <c r="G92" s="57">
        <f>SUM(G83:G91)</f>
        <v>-4445791.9000000041</v>
      </c>
      <c r="H92" s="60">
        <f>B92+D92+E92+F92+G92</f>
        <v>28031442.619999997</v>
      </c>
    </row>
    <row r="93" spans="1:10" ht="14.5" thickTop="1" x14ac:dyDescent="0.3">
      <c r="A93" s="121"/>
      <c r="B93" s="122"/>
      <c r="C93" s="35"/>
      <c r="D93" s="30"/>
      <c r="E93" s="30"/>
      <c r="F93" s="30"/>
      <c r="G93" s="35"/>
      <c r="H93" s="122"/>
      <c r="J93" s="165"/>
    </row>
    <row r="95" spans="1:10" x14ac:dyDescent="0.3">
      <c r="A95" s="222" t="s">
        <v>161</v>
      </c>
      <c r="B95" s="222"/>
      <c r="C95" s="222"/>
      <c r="D95" s="222"/>
      <c r="E95" s="222"/>
      <c r="F95" s="222"/>
      <c r="G95" s="222"/>
      <c r="H95" s="222"/>
      <c r="J95" s="165"/>
    </row>
  </sheetData>
  <mergeCells count="5">
    <mergeCell ref="A1:H1"/>
    <mergeCell ref="A2:H2"/>
    <mergeCell ref="A5:H5"/>
    <mergeCell ref="A6:H6"/>
    <mergeCell ref="A95:H95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82" orientation="portrait" r:id="rId1"/>
  <headerFooter alignWithMargins="0">
    <oddHeader>&amp;R&amp;12Pagina 926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showGridLines="0" topLeftCell="A34" workbookViewId="0">
      <selection activeCell="N19" sqref="N19"/>
    </sheetView>
  </sheetViews>
  <sheetFormatPr defaultRowHeight="12.5" x14ac:dyDescent="0.25"/>
  <cols>
    <col min="10" max="10" width="12.7265625" bestFit="1" customWidth="1"/>
  </cols>
  <sheetData>
    <row r="1" spans="1:10" ht="14" x14ac:dyDescent="0.3">
      <c r="A1" s="224" t="s">
        <v>110</v>
      </c>
      <c r="B1" s="224"/>
      <c r="C1" s="224"/>
      <c r="D1" s="224"/>
      <c r="E1" s="224"/>
      <c r="F1" s="224"/>
      <c r="G1" s="224"/>
      <c r="H1" s="224"/>
      <c r="I1" s="224"/>
      <c r="J1" s="224"/>
    </row>
    <row r="2" spans="1:10" ht="14" x14ac:dyDescent="0.3">
      <c r="A2" s="225" t="s">
        <v>111</v>
      </c>
      <c r="B2" s="225"/>
      <c r="C2" s="225"/>
      <c r="D2" s="225"/>
      <c r="E2" s="225"/>
      <c r="F2" s="225"/>
      <c r="G2" s="225"/>
      <c r="H2" s="225"/>
      <c r="I2" s="225"/>
      <c r="J2" s="225"/>
    </row>
    <row r="3" spans="1:10" ht="11.2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4" x14ac:dyDescent="0.3">
      <c r="A4" s="233" t="s">
        <v>112</v>
      </c>
      <c r="B4" s="233"/>
      <c r="C4" s="233"/>
      <c r="D4" s="233"/>
      <c r="E4" s="233"/>
      <c r="F4" s="233"/>
      <c r="G4" s="233"/>
      <c r="H4" s="233"/>
      <c r="I4" s="233"/>
      <c r="J4" s="233"/>
    </row>
    <row r="5" spans="1:10" ht="14" x14ac:dyDescent="0.3">
      <c r="A5" s="224" t="s">
        <v>90</v>
      </c>
      <c r="B5" s="224"/>
      <c r="C5" s="224"/>
      <c r="D5" s="224"/>
      <c r="E5" s="224"/>
      <c r="F5" s="224"/>
      <c r="G5" s="224"/>
      <c r="H5" s="224"/>
      <c r="I5" s="224"/>
      <c r="J5" s="224"/>
    </row>
    <row r="6" spans="1:10" ht="15" x14ac:dyDescent="0.3">
      <c r="A6" s="112"/>
      <c r="B6" s="112"/>
      <c r="C6" s="112"/>
      <c r="D6" s="112"/>
      <c r="E6" s="112"/>
      <c r="F6" s="112"/>
      <c r="G6" s="112"/>
      <c r="H6" s="112"/>
      <c r="I6" s="112"/>
      <c r="J6" s="116">
        <v>40543</v>
      </c>
    </row>
    <row r="7" spans="1:10" ht="15" x14ac:dyDescent="0.3">
      <c r="A7" s="112"/>
      <c r="B7" s="112"/>
      <c r="C7" s="112"/>
      <c r="D7" s="112"/>
      <c r="E7" s="112"/>
      <c r="F7" s="112"/>
      <c r="G7" s="112"/>
      <c r="H7" s="112"/>
      <c r="I7" s="112"/>
    </row>
    <row r="8" spans="1:10" ht="18" x14ac:dyDescent="0.6">
      <c r="A8" s="113" t="s">
        <v>113</v>
      </c>
      <c r="B8" s="111"/>
      <c r="C8" s="111"/>
      <c r="D8" s="111"/>
      <c r="E8" s="111"/>
      <c r="F8" s="111"/>
      <c r="G8" s="111"/>
      <c r="H8" s="111"/>
      <c r="I8" s="111"/>
      <c r="J8" s="12">
        <f>SUM(J9:J11)</f>
        <v>25178233.190000001</v>
      </c>
    </row>
    <row r="9" spans="1:10" ht="15.5" x14ac:dyDescent="0.35">
      <c r="A9" s="111" t="s">
        <v>114</v>
      </c>
      <c r="B9" s="111"/>
      <c r="C9" s="111"/>
      <c r="D9" s="111"/>
      <c r="E9" s="111"/>
      <c r="F9" s="111"/>
      <c r="G9" s="111"/>
      <c r="H9" s="111"/>
      <c r="I9" s="111"/>
      <c r="J9" s="6">
        <f>DRE!I10</f>
        <v>24397437.949999999</v>
      </c>
    </row>
    <row r="10" spans="1:10" ht="15.5" x14ac:dyDescent="0.35">
      <c r="A10" s="111" t="s">
        <v>115</v>
      </c>
      <c r="B10" s="111"/>
      <c r="C10" s="111"/>
      <c r="D10" s="111"/>
      <c r="E10" s="111"/>
      <c r="F10" s="111"/>
      <c r="G10" s="111"/>
      <c r="H10" s="111"/>
      <c r="I10" s="111"/>
      <c r="J10" s="6">
        <f>DRE!I18</f>
        <v>780237.64</v>
      </c>
    </row>
    <row r="11" spans="1:10" ht="15.5" x14ac:dyDescent="0.35">
      <c r="A11" s="111" t="s">
        <v>116</v>
      </c>
      <c r="B11" s="111"/>
      <c r="C11" s="111"/>
      <c r="D11" s="111"/>
      <c r="E11" s="111"/>
      <c r="F11" s="111"/>
      <c r="G11" s="111"/>
      <c r="H11" s="111"/>
      <c r="I11" s="111"/>
      <c r="J11" s="6">
        <f>DRE!I32</f>
        <v>557.60000000000036</v>
      </c>
    </row>
    <row r="12" spans="1:10" ht="15.5" x14ac:dyDescent="0.35">
      <c r="A12" s="111"/>
      <c r="B12" s="111"/>
      <c r="C12" s="111"/>
      <c r="D12" s="111"/>
      <c r="E12" s="111"/>
      <c r="F12" s="111"/>
      <c r="G12" s="111"/>
      <c r="H12" s="111"/>
      <c r="I12" s="111"/>
      <c r="J12" s="6"/>
    </row>
    <row r="13" spans="1:10" ht="18" x14ac:dyDescent="0.6">
      <c r="A13" s="113" t="s">
        <v>117</v>
      </c>
      <c r="B13" s="111"/>
      <c r="C13" s="111"/>
      <c r="D13" s="111"/>
      <c r="E13" s="111"/>
      <c r="F13" s="111"/>
      <c r="G13" s="111"/>
      <c r="H13" s="111"/>
      <c r="I13" s="111"/>
      <c r="J13" s="12">
        <f>SUM(J14:J15)</f>
        <v>9577899.1099999994</v>
      </c>
    </row>
    <row r="14" spans="1:10" ht="15.5" x14ac:dyDescent="0.35">
      <c r="A14" s="111" t="s">
        <v>118</v>
      </c>
      <c r="B14" s="111"/>
      <c r="C14" s="111"/>
      <c r="D14" s="111"/>
      <c r="E14" s="111"/>
      <c r="F14" s="111"/>
      <c r="G14" s="111"/>
      <c r="H14" s="111"/>
      <c r="I14" s="111"/>
      <c r="J14" s="6">
        <v>927381.37</v>
      </c>
    </row>
    <row r="15" spans="1:10" ht="15.5" x14ac:dyDescent="0.35">
      <c r="A15" s="111" t="s">
        <v>119</v>
      </c>
      <c r="B15" s="111"/>
      <c r="C15" s="111"/>
      <c r="D15" s="111"/>
      <c r="E15" s="111"/>
      <c r="F15" s="111"/>
      <c r="G15" s="111"/>
      <c r="H15" s="111"/>
      <c r="I15" s="111"/>
      <c r="J15" s="6">
        <v>8650517.7400000002</v>
      </c>
    </row>
    <row r="16" spans="1:10" ht="15.5" x14ac:dyDescent="0.35">
      <c r="A16" s="111"/>
      <c r="B16" s="111"/>
      <c r="C16" s="111"/>
      <c r="D16" s="111"/>
      <c r="E16" s="111"/>
      <c r="F16" s="111"/>
      <c r="G16" s="111"/>
      <c r="H16" s="111"/>
      <c r="I16" s="111"/>
      <c r="J16" s="6"/>
    </row>
    <row r="17" spans="1:10" ht="18" x14ac:dyDescent="0.6">
      <c r="A17" s="113" t="s">
        <v>120</v>
      </c>
      <c r="B17" s="111"/>
      <c r="C17" s="111"/>
      <c r="D17" s="111"/>
      <c r="E17" s="111"/>
      <c r="F17" s="111"/>
      <c r="G17" s="111"/>
      <c r="H17" s="111"/>
      <c r="I17" s="111"/>
      <c r="J17" s="12">
        <f>J18</f>
        <v>1716566.96</v>
      </c>
    </row>
    <row r="18" spans="1:10" ht="15.5" x14ac:dyDescent="0.35">
      <c r="A18" s="111" t="s">
        <v>121</v>
      </c>
      <c r="B18" s="111"/>
      <c r="C18" s="111"/>
      <c r="D18" s="111"/>
      <c r="E18" s="111"/>
      <c r="F18" s="111"/>
      <c r="G18" s="111"/>
      <c r="H18" s="111"/>
      <c r="I18" s="111"/>
      <c r="J18" s="6">
        <f>569937.59+1146629.37</f>
        <v>1716566.96</v>
      </c>
    </row>
    <row r="19" spans="1:10" ht="15.5" x14ac:dyDescent="0.35">
      <c r="A19" s="111"/>
      <c r="B19" s="111"/>
      <c r="C19" s="111"/>
      <c r="D19" s="111"/>
      <c r="E19" s="111"/>
      <c r="F19" s="111"/>
      <c r="G19" s="111"/>
      <c r="H19" s="111"/>
      <c r="I19" s="111"/>
      <c r="J19" s="6"/>
    </row>
    <row r="20" spans="1:10" ht="18" x14ac:dyDescent="0.6">
      <c r="A20" s="114" t="s">
        <v>122</v>
      </c>
      <c r="B20" s="115"/>
      <c r="C20" s="115"/>
      <c r="D20" s="115"/>
      <c r="E20" s="115"/>
      <c r="F20" s="115"/>
      <c r="G20" s="115"/>
      <c r="H20" s="115"/>
      <c r="I20" s="115"/>
      <c r="J20" s="150">
        <f>J8-J13-J17</f>
        <v>13883767.120000001</v>
      </c>
    </row>
    <row r="21" spans="1:10" ht="15.5" x14ac:dyDescent="0.35">
      <c r="A21" s="111"/>
      <c r="B21" s="111"/>
      <c r="C21" s="111"/>
      <c r="D21" s="111"/>
      <c r="E21" s="111"/>
      <c r="F21" s="111"/>
      <c r="G21" s="111"/>
      <c r="H21" s="111"/>
      <c r="I21" s="111"/>
      <c r="J21" s="6"/>
    </row>
    <row r="22" spans="1:10" ht="18" x14ac:dyDescent="0.6">
      <c r="A22" s="113" t="s">
        <v>123</v>
      </c>
      <c r="B22" s="111"/>
      <c r="C22" s="111"/>
      <c r="D22" s="111"/>
      <c r="E22" s="111"/>
      <c r="F22" s="111"/>
      <c r="G22" s="111"/>
      <c r="H22" s="111"/>
      <c r="I22" s="111"/>
      <c r="J22" s="12">
        <f>SUM(J23:J25)</f>
        <v>2589950.0099999998</v>
      </c>
    </row>
    <row r="23" spans="1:10" ht="15.5" x14ac:dyDescent="0.35">
      <c r="A23" s="111" t="s">
        <v>124</v>
      </c>
      <c r="B23" s="111"/>
      <c r="C23" s="111"/>
      <c r="D23" s="111"/>
      <c r="E23" s="111"/>
      <c r="F23" s="111"/>
      <c r="G23" s="111"/>
      <c r="H23" s="111"/>
      <c r="I23" s="111"/>
      <c r="J23" s="6">
        <f>DRE!I23</f>
        <v>2444769.48</v>
      </c>
    </row>
    <row r="24" spans="1:10" ht="15.5" x14ac:dyDescent="0.35">
      <c r="A24" s="111" t="s">
        <v>125</v>
      </c>
      <c r="B24" s="111"/>
      <c r="C24" s="111"/>
      <c r="D24" s="111"/>
      <c r="E24" s="111"/>
      <c r="F24" s="111"/>
      <c r="G24" s="111"/>
      <c r="H24" s="111"/>
      <c r="I24" s="111"/>
      <c r="J24" s="6">
        <f>DRE!I25</f>
        <v>145180.53</v>
      </c>
    </row>
    <row r="25" spans="1:10" ht="15.5" x14ac:dyDescent="0.35">
      <c r="A25" s="111" t="s">
        <v>126</v>
      </c>
      <c r="B25" s="111"/>
      <c r="C25" s="111"/>
      <c r="D25" s="111"/>
      <c r="E25" s="111"/>
      <c r="F25" s="111"/>
      <c r="G25" s="111"/>
      <c r="H25" s="111"/>
      <c r="I25" s="111"/>
      <c r="J25" s="6">
        <v>0</v>
      </c>
    </row>
    <row r="26" spans="1:10" ht="15.5" x14ac:dyDescent="0.35">
      <c r="A26" s="111"/>
      <c r="B26" s="111"/>
      <c r="C26" s="111"/>
      <c r="D26" s="111"/>
      <c r="E26" s="111"/>
      <c r="F26" s="111"/>
      <c r="G26" s="111"/>
      <c r="H26" s="111"/>
      <c r="I26" s="111"/>
      <c r="J26" s="6"/>
    </row>
    <row r="27" spans="1:10" ht="18" x14ac:dyDescent="0.6">
      <c r="A27" s="114" t="s">
        <v>127</v>
      </c>
      <c r="B27" s="115"/>
      <c r="C27" s="115"/>
      <c r="D27" s="115"/>
      <c r="E27" s="115"/>
      <c r="F27" s="115"/>
      <c r="G27" s="115"/>
      <c r="H27" s="115"/>
      <c r="I27" s="115"/>
      <c r="J27" s="150">
        <f>J20+J22</f>
        <v>16473717.130000001</v>
      </c>
    </row>
    <row r="28" spans="1:10" ht="15.5" x14ac:dyDescent="0.35">
      <c r="A28" s="111"/>
      <c r="B28" s="111"/>
      <c r="C28" s="111"/>
      <c r="D28" s="111"/>
      <c r="E28" s="111"/>
      <c r="F28" s="111"/>
      <c r="G28" s="111"/>
      <c r="H28" s="111"/>
      <c r="I28" s="111"/>
      <c r="J28" s="6"/>
    </row>
    <row r="29" spans="1:10" ht="18" x14ac:dyDescent="0.6">
      <c r="A29" s="114" t="s">
        <v>128</v>
      </c>
      <c r="B29" s="115"/>
      <c r="C29" s="115"/>
      <c r="D29" s="115"/>
      <c r="E29" s="115"/>
      <c r="F29" s="115"/>
      <c r="G29" s="115"/>
      <c r="H29" s="115"/>
      <c r="I29" s="115"/>
      <c r="J29" s="150">
        <f>J30+J35+J40</f>
        <v>20919509.34</v>
      </c>
    </row>
    <row r="30" spans="1:10" ht="15.5" x14ac:dyDescent="0.35">
      <c r="A30" s="113" t="s">
        <v>129</v>
      </c>
      <c r="B30" s="111"/>
      <c r="C30" s="111"/>
      <c r="D30" s="111"/>
      <c r="E30" s="111"/>
      <c r="F30" s="111"/>
      <c r="G30" s="111"/>
      <c r="H30" s="111"/>
      <c r="I30" s="111"/>
      <c r="J30" s="28">
        <f>SUM(J31:J33)</f>
        <v>17446276.02</v>
      </c>
    </row>
    <row r="31" spans="1:10" ht="15.5" x14ac:dyDescent="0.35">
      <c r="A31" s="111" t="s">
        <v>130</v>
      </c>
      <c r="B31" s="111"/>
      <c r="C31" s="111"/>
      <c r="D31" s="111"/>
      <c r="E31" s="111"/>
      <c r="F31" s="111"/>
      <c r="G31" s="111"/>
      <c r="H31" s="111"/>
      <c r="I31" s="111"/>
      <c r="J31" s="6">
        <v>16339224.880000001</v>
      </c>
    </row>
    <row r="32" spans="1:10" ht="15.5" x14ac:dyDescent="0.35">
      <c r="A32" s="111" t="s">
        <v>131</v>
      </c>
      <c r="B32" s="111"/>
      <c r="C32" s="111"/>
      <c r="D32" s="111"/>
      <c r="E32" s="111"/>
      <c r="F32" s="111"/>
      <c r="G32" s="111"/>
      <c r="H32" s="111"/>
      <c r="I32" s="111"/>
      <c r="J32" s="6">
        <f>904992.67+120069.97</f>
        <v>1025062.64</v>
      </c>
    </row>
    <row r="33" spans="1:10" ht="15.5" x14ac:dyDescent="0.35">
      <c r="A33" s="111" t="s">
        <v>132</v>
      </c>
      <c r="B33" s="111"/>
      <c r="C33" s="111"/>
      <c r="D33" s="111"/>
      <c r="E33" s="111"/>
      <c r="F33" s="111"/>
      <c r="G33" s="111"/>
      <c r="H33" s="111"/>
      <c r="I33" s="111"/>
      <c r="J33" s="6">
        <v>81988.5</v>
      </c>
    </row>
    <row r="34" spans="1:10" ht="15.5" x14ac:dyDescent="0.35">
      <c r="A34" s="111"/>
      <c r="B34" s="111"/>
      <c r="C34" s="111"/>
      <c r="D34" s="111"/>
      <c r="E34" s="111"/>
      <c r="F34" s="111"/>
      <c r="G34" s="111"/>
      <c r="H34" s="111"/>
      <c r="I34" s="111"/>
      <c r="J34" s="6"/>
    </row>
    <row r="35" spans="1:10" ht="15.5" x14ac:dyDescent="0.35">
      <c r="A35" s="113" t="s">
        <v>133</v>
      </c>
      <c r="B35" s="111"/>
      <c r="C35" s="111"/>
      <c r="D35" s="111"/>
      <c r="E35" s="111"/>
      <c r="F35" s="111"/>
      <c r="G35" s="111"/>
      <c r="H35" s="111"/>
      <c r="I35" s="111"/>
      <c r="J35" s="28">
        <f>SUM(J36:J38)</f>
        <v>376075.25999999995</v>
      </c>
    </row>
    <row r="36" spans="1:10" ht="15.5" x14ac:dyDescent="0.35">
      <c r="A36" s="111" t="s">
        <v>134</v>
      </c>
      <c r="B36" s="111"/>
      <c r="C36" s="111"/>
      <c r="D36" s="111"/>
      <c r="E36" s="111"/>
      <c r="F36" s="111"/>
      <c r="G36" s="111"/>
      <c r="H36" s="111"/>
      <c r="I36" s="111"/>
      <c r="J36" s="6">
        <v>112375.26</v>
      </c>
    </row>
    <row r="37" spans="1:10" ht="15.5" x14ac:dyDescent="0.35">
      <c r="A37" s="111" t="s">
        <v>135</v>
      </c>
      <c r="B37" s="111"/>
      <c r="C37" s="111"/>
      <c r="D37" s="111"/>
      <c r="E37" s="111"/>
      <c r="F37" s="111"/>
      <c r="G37" s="111"/>
      <c r="H37" s="111"/>
      <c r="I37" s="111"/>
      <c r="J37" s="6">
        <v>158444.96</v>
      </c>
    </row>
    <row r="38" spans="1:10" ht="15.5" x14ac:dyDescent="0.35">
      <c r="A38" s="111" t="s">
        <v>136</v>
      </c>
      <c r="B38" s="111"/>
      <c r="C38" s="111"/>
      <c r="D38" s="111"/>
      <c r="E38" s="111"/>
      <c r="F38" s="111"/>
      <c r="G38" s="111"/>
      <c r="H38" s="111"/>
      <c r="I38" s="111"/>
      <c r="J38" s="6">
        <v>105255.03999999999</v>
      </c>
    </row>
    <row r="39" spans="1:10" ht="15.5" x14ac:dyDescent="0.35">
      <c r="A39" s="111"/>
      <c r="B39" s="111"/>
      <c r="C39" s="111"/>
      <c r="D39" s="111"/>
      <c r="E39" s="111"/>
      <c r="F39" s="111"/>
      <c r="G39" s="111"/>
      <c r="H39" s="111"/>
      <c r="I39" s="111"/>
      <c r="J39" s="6"/>
    </row>
    <row r="40" spans="1:10" ht="15.5" x14ac:dyDescent="0.35">
      <c r="A40" s="113" t="s">
        <v>137</v>
      </c>
      <c r="B40" s="111"/>
      <c r="C40" s="111"/>
      <c r="D40" s="111"/>
      <c r="E40" s="111"/>
      <c r="F40" s="111"/>
      <c r="G40" s="111"/>
      <c r="H40" s="111"/>
      <c r="I40" s="111"/>
      <c r="J40" s="28">
        <f>SUM(J41:J45)</f>
        <v>3097158.06</v>
      </c>
    </row>
    <row r="41" spans="1:10" ht="15.5" x14ac:dyDescent="0.35">
      <c r="A41" s="111" t="s">
        <v>138</v>
      </c>
      <c r="B41" s="111"/>
      <c r="C41" s="111"/>
      <c r="D41" s="111"/>
      <c r="E41" s="111"/>
      <c r="F41" s="111"/>
      <c r="G41" s="111"/>
      <c r="H41" s="111"/>
      <c r="I41" s="111"/>
      <c r="J41" s="6">
        <v>0</v>
      </c>
    </row>
    <row r="42" spans="1:10" ht="15.5" x14ac:dyDescent="0.35">
      <c r="A42" s="111" t="s">
        <v>140</v>
      </c>
      <c r="B42" s="111"/>
      <c r="C42" s="111"/>
      <c r="D42" s="111"/>
      <c r="E42" s="111"/>
      <c r="F42" s="111"/>
      <c r="G42" s="111"/>
      <c r="H42" s="111"/>
      <c r="I42" s="111"/>
      <c r="J42" s="6">
        <f>-DRE!I22</f>
        <v>1465391.45</v>
      </c>
    </row>
    <row r="43" spans="1:10" ht="15.5" x14ac:dyDescent="0.35">
      <c r="A43" s="111" t="s">
        <v>139</v>
      </c>
      <c r="B43" s="111"/>
      <c r="C43" s="111"/>
      <c r="D43" s="111"/>
      <c r="E43" s="111"/>
      <c r="F43" s="111"/>
      <c r="G43" s="111"/>
      <c r="H43" s="111"/>
      <c r="I43" s="111"/>
      <c r="J43" s="6">
        <f>-DRE!I24</f>
        <v>33137.839999999997</v>
      </c>
    </row>
    <row r="44" spans="1:10" ht="15.5" x14ac:dyDescent="0.35">
      <c r="A44" s="111" t="s">
        <v>141</v>
      </c>
      <c r="B44" s="111"/>
      <c r="C44" s="111"/>
      <c r="D44" s="111"/>
      <c r="E44" s="111"/>
      <c r="F44" s="111"/>
      <c r="G44" s="111"/>
      <c r="H44" s="111"/>
      <c r="I44" s="111"/>
      <c r="J44" s="6">
        <f>-DRE!I21</f>
        <v>1225355.8500000001</v>
      </c>
    </row>
    <row r="45" spans="1:10" ht="15.5" x14ac:dyDescent="0.35">
      <c r="A45" s="111" t="s">
        <v>142</v>
      </c>
      <c r="B45" s="111"/>
      <c r="C45" s="111"/>
      <c r="D45" s="111"/>
      <c r="E45" s="111"/>
      <c r="F45" s="111"/>
      <c r="G45" s="111"/>
      <c r="H45" s="111"/>
      <c r="I45" s="111"/>
      <c r="J45" s="6">
        <f>-DRE!I16</f>
        <v>373272.92</v>
      </c>
    </row>
    <row r="46" spans="1:10" ht="15.5" x14ac:dyDescent="0.35">
      <c r="A46" s="111"/>
      <c r="B46" s="111"/>
      <c r="C46" s="111"/>
      <c r="D46" s="111"/>
      <c r="E46" s="111"/>
      <c r="F46" s="111"/>
      <c r="G46" s="111"/>
      <c r="H46" s="111"/>
      <c r="I46" s="111"/>
      <c r="J46" s="6"/>
    </row>
    <row r="47" spans="1:10" ht="16.5" x14ac:dyDescent="0.45">
      <c r="A47" s="114" t="s">
        <v>143</v>
      </c>
      <c r="B47" s="115"/>
      <c r="C47" s="115"/>
      <c r="D47" s="115"/>
      <c r="E47" s="115"/>
      <c r="F47" s="115"/>
      <c r="G47" s="115"/>
      <c r="H47" s="115"/>
      <c r="I47" s="115"/>
      <c r="J47" s="151">
        <f>J27-J29</f>
        <v>-4445792.209999999</v>
      </c>
    </row>
    <row r="48" spans="1:10" ht="15.5" x14ac:dyDescent="0.35">
      <c r="A48" s="111"/>
      <c r="B48" s="111"/>
      <c r="C48" s="111"/>
      <c r="D48" s="111"/>
      <c r="E48" s="111"/>
      <c r="F48" s="111"/>
      <c r="G48" s="111"/>
      <c r="H48" s="111"/>
      <c r="I48" s="111"/>
      <c r="J48" s="117"/>
    </row>
    <row r="49" spans="1:10" ht="15.75" customHeight="1" x14ac:dyDescent="0.3">
      <c r="A49" s="222" t="s">
        <v>161</v>
      </c>
      <c r="B49" s="222"/>
      <c r="C49" s="222"/>
      <c r="D49" s="222"/>
      <c r="E49" s="222"/>
      <c r="F49" s="222"/>
      <c r="G49" s="222"/>
      <c r="H49" s="222"/>
      <c r="I49" s="222"/>
      <c r="J49" s="222"/>
    </row>
    <row r="50" spans="1:10" ht="15.5" x14ac:dyDescent="0.35">
      <c r="A50" s="111"/>
      <c r="B50" s="111"/>
      <c r="C50" s="111"/>
      <c r="D50" s="111"/>
      <c r="E50" s="111"/>
      <c r="F50" s="111"/>
      <c r="G50" s="111"/>
      <c r="H50" s="111"/>
      <c r="I50" s="111"/>
      <c r="J50" s="111"/>
    </row>
    <row r="51" spans="1:10" ht="15.5" x14ac:dyDescent="0.35">
      <c r="A51" s="111"/>
      <c r="B51" s="111"/>
      <c r="C51" s="111"/>
      <c r="D51" s="111"/>
      <c r="E51" s="111"/>
      <c r="F51" s="111"/>
      <c r="G51" s="111"/>
      <c r="H51" s="111"/>
      <c r="I51" s="111"/>
      <c r="J51" s="111"/>
    </row>
    <row r="52" spans="1:10" ht="15.5" x14ac:dyDescent="0.35">
      <c r="A52" s="111"/>
      <c r="B52" s="111"/>
      <c r="C52" s="111"/>
      <c r="D52" s="111"/>
      <c r="E52" s="111"/>
      <c r="F52" s="111"/>
      <c r="G52" s="111"/>
      <c r="H52" s="111"/>
      <c r="I52" s="111"/>
      <c r="J52" s="111"/>
    </row>
    <row r="53" spans="1:10" ht="15.5" x14ac:dyDescent="0.35">
      <c r="A53" s="111"/>
      <c r="B53" s="111"/>
      <c r="C53" s="111"/>
      <c r="D53" s="111"/>
      <c r="E53" s="111"/>
      <c r="F53" s="111"/>
      <c r="G53" s="111"/>
      <c r="H53" s="111"/>
      <c r="I53" s="111"/>
      <c r="J53" s="111"/>
    </row>
    <row r="54" spans="1:10" ht="15.5" x14ac:dyDescent="0.35">
      <c r="A54" s="111"/>
      <c r="B54" s="111"/>
      <c r="C54" s="111"/>
      <c r="D54" s="111"/>
      <c r="E54" s="111"/>
      <c r="F54" s="111"/>
      <c r="G54" s="111"/>
      <c r="H54" s="111"/>
      <c r="I54" s="111"/>
      <c r="J54" s="111"/>
    </row>
    <row r="55" spans="1:10" ht="15.5" x14ac:dyDescent="0.35">
      <c r="A55" s="111"/>
      <c r="B55" s="111"/>
      <c r="C55" s="111"/>
      <c r="D55" s="111"/>
      <c r="E55" s="111"/>
      <c r="F55" s="111"/>
      <c r="G55" s="111"/>
      <c r="H55" s="111"/>
      <c r="I55" s="111"/>
      <c r="J55" s="111"/>
    </row>
    <row r="56" spans="1:10" ht="15.5" x14ac:dyDescent="0.35">
      <c r="A56" s="111"/>
      <c r="B56" s="111"/>
      <c r="C56" s="111"/>
      <c r="D56" s="111"/>
      <c r="E56" s="111"/>
      <c r="F56" s="111"/>
      <c r="G56" s="111"/>
      <c r="H56" s="111"/>
      <c r="I56" s="111"/>
      <c r="J56" s="111"/>
    </row>
    <row r="57" spans="1:10" ht="15.5" x14ac:dyDescent="0.35">
      <c r="A57" s="111"/>
      <c r="B57" s="111"/>
      <c r="C57" s="111"/>
      <c r="D57" s="111"/>
      <c r="E57" s="111"/>
      <c r="F57" s="111"/>
      <c r="G57" s="111"/>
      <c r="H57" s="111"/>
      <c r="I57" s="111"/>
      <c r="J57" s="111"/>
    </row>
    <row r="58" spans="1:10" ht="15.5" x14ac:dyDescent="0.35">
      <c r="A58" s="111"/>
      <c r="B58" s="111"/>
      <c r="C58" s="111"/>
      <c r="D58" s="111"/>
      <c r="E58" s="111"/>
      <c r="F58" s="111"/>
      <c r="G58" s="111"/>
      <c r="H58" s="111"/>
      <c r="I58" s="111"/>
      <c r="J58" s="111"/>
    </row>
    <row r="59" spans="1:10" ht="15.5" x14ac:dyDescent="0.35">
      <c r="A59" s="111"/>
      <c r="B59" s="111"/>
      <c r="C59" s="111"/>
      <c r="D59" s="111"/>
      <c r="E59" s="111"/>
      <c r="F59" s="111"/>
      <c r="G59" s="111"/>
      <c r="H59" s="111"/>
      <c r="I59" s="111"/>
      <c r="J59" s="111"/>
    </row>
    <row r="60" spans="1:10" ht="15.5" x14ac:dyDescent="0.35">
      <c r="A60" s="111"/>
      <c r="B60" s="111"/>
      <c r="C60" s="111"/>
      <c r="D60" s="111"/>
      <c r="E60" s="111"/>
      <c r="F60" s="111"/>
      <c r="G60" s="111"/>
      <c r="H60" s="111"/>
      <c r="I60" s="111"/>
      <c r="J60" s="111"/>
    </row>
  </sheetData>
  <mergeCells count="5">
    <mergeCell ref="A1:J1"/>
    <mergeCell ref="A2:J2"/>
    <mergeCell ref="A4:J4"/>
    <mergeCell ref="A5:J5"/>
    <mergeCell ref="A49:J49"/>
  </mergeCells>
  <printOptions horizontalCentered="1"/>
  <pageMargins left="0.39370078740157483" right="0.39370078740157483" top="0.59055118110236227" bottom="0.35433070866141736" header="0.31496062992125984" footer="0.23622047244094491"/>
  <pageSetup paperSize="9" orientation="portrait" r:id="rId1"/>
  <headerFooter>
    <oddHeader>&amp;R&amp;12Pagina 927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1"/>
  <sheetViews>
    <sheetView showGridLines="0" topLeftCell="A13" zoomScaleNormal="100" workbookViewId="0">
      <selection activeCell="N19" sqref="N19"/>
    </sheetView>
  </sheetViews>
  <sheetFormatPr defaultColWidth="9.1796875" defaultRowHeight="12.5" x14ac:dyDescent="0.25"/>
  <cols>
    <col min="1" max="1" width="4.81640625" customWidth="1"/>
    <col min="2" max="2" width="9.26953125" customWidth="1"/>
    <col min="8" max="8" width="9.453125" customWidth="1"/>
    <col min="9" max="9" width="16.81640625" bestFit="1" customWidth="1"/>
    <col min="11" max="11" width="12.81640625" hidden="1" customWidth="1"/>
    <col min="12" max="12" width="0" hidden="1" customWidth="1"/>
    <col min="13" max="13" width="11.81640625" hidden="1" customWidth="1"/>
    <col min="14" max="14" width="0" hidden="1" customWidth="1"/>
    <col min="15" max="15" width="11.26953125" hidden="1" customWidth="1"/>
    <col min="16" max="31" width="0" hidden="1" customWidth="1"/>
    <col min="32" max="33" width="11.81640625" bestFit="1" customWidth="1"/>
  </cols>
  <sheetData>
    <row r="1" spans="1:15" ht="15" x14ac:dyDescent="0.3">
      <c r="A1" s="234" t="s">
        <v>110</v>
      </c>
      <c r="B1" s="234"/>
      <c r="C1" s="234"/>
      <c r="D1" s="234"/>
      <c r="E1" s="234"/>
      <c r="F1" s="234"/>
      <c r="G1" s="234"/>
      <c r="H1" s="234"/>
      <c r="I1" s="234"/>
      <c r="J1" s="202"/>
    </row>
    <row r="2" spans="1:15" ht="15.5" x14ac:dyDescent="0.35">
      <c r="A2" s="235" t="s">
        <v>111</v>
      </c>
      <c r="B2" s="235"/>
      <c r="C2" s="235"/>
      <c r="D2" s="235"/>
      <c r="E2" s="235"/>
      <c r="F2" s="235"/>
      <c r="G2" s="235"/>
      <c r="H2" s="235"/>
      <c r="I2" s="235"/>
      <c r="J2" s="203"/>
    </row>
    <row r="3" spans="1:15" ht="7.5" customHeight="1" x14ac:dyDescent="0.35">
      <c r="A3" s="134"/>
      <c r="B3" s="134"/>
      <c r="C3" s="134"/>
      <c r="D3" s="134"/>
      <c r="E3" s="134"/>
      <c r="F3" s="134"/>
      <c r="G3" s="134"/>
      <c r="H3" s="134"/>
      <c r="I3" s="134"/>
      <c r="J3" s="134"/>
    </row>
    <row r="4" spans="1:15" ht="15" x14ac:dyDescent="0.3">
      <c r="A4" s="236" t="s">
        <v>147</v>
      </c>
      <c r="B4" s="236"/>
      <c r="C4" s="236"/>
      <c r="D4" s="236"/>
      <c r="E4" s="236"/>
      <c r="F4" s="236"/>
      <c r="G4" s="236"/>
      <c r="H4" s="236"/>
      <c r="I4" s="236"/>
      <c r="J4" s="204"/>
    </row>
    <row r="5" spans="1:15" ht="15" x14ac:dyDescent="0.3">
      <c r="A5" s="234" t="s">
        <v>148</v>
      </c>
      <c r="B5" s="234"/>
      <c r="C5" s="234"/>
      <c r="D5" s="234"/>
      <c r="E5" s="234"/>
      <c r="F5" s="234"/>
      <c r="G5" s="234"/>
      <c r="H5" s="234"/>
      <c r="I5" s="234"/>
      <c r="J5" s="202"/>
    </row>
    <row r="6" spans="1:15" ht="9" customHeight="1" x14ac:dyDescent="0.35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5" ht="17.5" x14ac:dyDescent="0.35">
      <c r="A7" s="135" t="s">
        <v>149</v>
      </c>
      <c r="B7" s="134"/>
      <c r="C7" s="134"/>
      <c r="D7" s="134"/>
      <c r="E7" s="134"/>
      <c r="F7" s="134"/>
      <c r="G7" s="134"/>
      <c r="H7" s="134"/>
      <c r="I7" s="159">
        <v>2010</v>
      </c>
      <c r="J7" s="134"/>
    </row>
    <row r="8" spans="1:15" ht="17" x14ac:dyDescent="0.5">
      <c r="A8" s="134" t="s">
        <v>218</v>
      </c>
      <c r="B8" s="134"/>
      <c r="C8" s="134"/>
      <c r="D8" s="134"/>
      <c r="E8" s="134"/>
      <c r="F8" s="134"/>
      <c r="G8" s="134"/>
      <c r="H8" s="134"/>
      <c r="I8" s="156">
        <f>DRE!I34</f>
        <v>-4445792.2100000046</v>
      </c>
      <c r="J8" s="134"/>
    </row>
    <row r="9" spans="1:15" ht="15.5" x14ac:dyDescent="0.35">
      <c r="B9" s="134" t="s">
        <v>151</v>
      </c>
      <c r="C9" s="134"/>
      <c r="D9" s="134"/>
      <c r="E9" s="134"/>
      <c r="F9" s="134"/>
      <c r="G9" s="134"/>
      <c r="H9" s="134"/>
      <c r="I9" s="137"/>
      <c r="J9" s="134"/>
    </row>
    <row r="10" spans="1:15" ht="15.5" x14ac:dyDescent="0.35">
      <c r="B10" s="134" t="s">
        <v>162</v>
      </c>
      <c r="C10" s="134"/>
      <c r="D10" s="134"/>
      <c r="E10" s="134"/>
      <c r="F10" s="134"/>
      <c r="G10" s="134"/>
      <c r="H10" s="134"/>
      <c r="I10" s="137">
        <v>1716567</v>
      </c>
      <c r="J10" s="134"/>
      <c r="K10" s="167">
        <v>1716567</v>
      </c>
      <c r="M10">
        <f>24740+623251+687375</f>
        <v>1335366</v>
      </c>
      <c r="O10" s="168">
        <f>K10-M10</f>
        <v>381201</v>
      </c>
    </row>
    <row r="11" spans="1:15" ht="15.5" hidden="1" x14ac:dyDescent="0.35">
      <c r="B11" s="134" t="s">
        <v>180</v>
      </c>
      <c r="C11" s="134"/>
      <c r="D11" s="134"/>
      <c r="E11" s="134"/>
      <c r="F11" s="134"/>
      <c r="G11" s="134"/>
      <c r="H11" s="134"/>
      <c r="I11" s="137">
        <v>0</v>
      </c>
      <c r="J11" s="134"/>
    </row>
    <row r="12" spans="1:15" ht="15.5" x14ac:dyDescent="0.35">
      <c r="B12" s="134" t="s">
        <v>256</v>
      </c>
      <c r="C12" s="134"/>
      <c r="D12" s="134"/>
      <c r="E12" s="134"/>
      <c r="F12" s="134"/>
      <c r="G12" s="134"/>
      <c r="H12" s="134"/>
      <c r="I12" s="137">
        <f>13597</f>
        <v>13597</v>
      </c>
      <c r="J12" s="134"/>
    </row>
    <row r="13" spans="1:15" ht="15.5" x14ac:dyDescent="0.35">
      <c r="B13" s="134" t="s">
        <v>182</v>
      </c>
      <c r="C13" s="134"/>
      <c r="D13" s="134"/>
      <c r="E13" s="134"/>
      <c r="F13" s="134"/>
      <c r="G13" s="134"/>
      <c r="H13" s="134"/>
      <c r="I13" s="137">
        <v>-24740</v>
      </c>
      <c r="J13" s="134"/>
    </row>
    <row r="14" spans="1:15" ht="15.5" x14ac:dyDescent="0.35">
      <c r="B14" s="134" t="s">
        <v>183</v>
      </c>
      <c r="C14" s="134"/>
      <c r="D14" s="134"/>
      <c r="E14" s="134"/>
      <c r="F14" s="134"/>
      <c r="G14" s="134"/>
      <c r="H14" s="134"/>
      <c r="I14" s="137"/>
      <c r="J14" s="134"/>
    </row>
    <row r="15" spans="1:15" ht="9" customHeight="1" x14ac:dyDescent="0.35">
      <c r="A15" s="134"/>
      <c r="B15" s="134"/>
      <c r="C15" s="134"/>
      <c r="D15" s="134"/>
      <c r="E15" s="134"/>
      <c r="F15" s="134"/>
      <c r="G15" s="134"/>
      <c r="H15" s="134"/>
      <c r="I15" s="144"/>
      <c r="J15" s="140"/>
    </row>
    <row r="16" spans="1:15" ht="15.5" x14ac:dyDescent="0.35">
      <c r="A16" s="141" t="s">
        <v>205</v>
      </c>
      <c r="B16" s="134"/>
      <c r="C16" s="134"/>
      <c r="D16" s="134"/>
      <c r="E16" s="134"/>
      <c r="F16" s="134"/>
      <c r="G16" s="134"/>
      <c r="H16" s="134"/>
      <c r="I16" s="137"/>
      <c r="J16" s="134"/>
    </row>
    <row r="17" spans="1:10" ht="15.5" x14ac:dyDescent="0.35">
      <c r="B17" s="134" t="s">
        <v>206</v>
      </c>
      <c r="C17" s="134"/>
      <c r="D17" s="134"/>
      <c r="E17" s="134"/>
      <c r="F17" s="134"/>
      <c r="G17" s="134"/>
      <c r="H17" s="134"/>
      <c r="I17" s="137">
        <f>Ativo!L13</f>
        <v>-2443934.9000000004</v>
      </c>
      <c r="J17" s="134"/>
    </row>
    <row r="18" spans="1:10" ht="15.5" x14ac:dyDescent="0.35">
      <c r="B18" s="134" t="s">
        <v>207</v>
      </c>
      <c r="C18" s="134"/>
      <c r="D18" s="134"/>
      <c r="E18" s="134"/>
      <c r="F18" s="134"/>
      <c r="G18" s="134"/>
      <c r="H18" s="134"/>
      <c r="I18" s="137">
        <f>Ativo!L14</f>
        <v>13649.759999999995</v>
      </c>
      <c r="J18" s="134"/>
    </row>
    <row r="19" spans="1:10" ht="15.5" x14ac:dyDescent="0.35">
      <c r="B19" s="134" t="s">
        <v>208</v>
      </c>
      <c r="C19" s="134"/>
      <c r="D19" s="134"/>
      <c r="E19" s="134"/>
      <c r="F19" s="134"/>
      <c r="G19" s="134"/>
      <c r="H19" s="134"/>
      <c r="I19" s="137">
        <f>Ativo!L15+Ativo!L24</f>
        <v>-113317.36000000004</v>
      </c>
      <c r="J19" s="134"/>
    </row>
    <row r="20" spans="1:10" ht="15.5" x14ac:dyDescent="0.35">
      <c r="B20" s="134" t="s">
        <v>209</v>
      </c>
      <c r="C20" s="134"/>
      <c r="D20" s="134"/>
      <c r="E20" s="134"/>
      <c r="F20" s="134"/>
      <c r="G20" s="134"/>
      <c r="H20" s="134"/>
      <c r="I20" s="137">
        <f>Ativo!L16</f>
        <v>-761456.77</v>
      </c>
      <c r="J20" s="134"/>
    </row>
    <row r="21" spans="1:10" ht="15.5" x14ac:dyDescent="0.35">
      <c r="B21" s="134" t="s">
        <v>223</v>
      </c>
      <c r="C21" s="134"/>
      <c r="D21" s="134"/>
      <c r="E21" s="134"/>
      <c r="F21" s="134"/>
      <c r="G21" s="134"/>
      <c r="H21" s="134"/>
      <c r="I21" s="137">
        <v>410873</v>
      </c>
      <c r="J21" s="134"/>
    </row>
    <row r="22" spans="1:10" ht="15.5" x14ac:dyDescent="0.35">
      <c r="B22" s="134" t="s">
        <v>210</v>
      </c>
      <c r="C22" s="134"/>
      <c r="D22" s="134"/>
      <c r="E22" s="134"/>
      <c r="F22" s="134"/>
      <c r="G22" s="134"/>
      <c r="H22" s="134"/>
      <c r="I22" s="137">
        <f>Ativo!L23</f>
        <v>-5101030.5</v>
      </c>
      <c r="J22" s="134"/>
    </row>
    <row r="23" spans="1:10" ht="15.5" hidden="1" x14ac:dyDescent="0.35">
      <c r="B23" s="134" t="s">
        <v>211</v>
      </c>
      <c r="C23" s="134"/>
      <c r="D23" s="134"/>
      <c r="E23" s="134"/>
      <c r="F23" s="134"/>
      <c r="G23" s="134"/>
      <c r="H23" s="134"/>
      <c r="I23" s="137"/>
      <c r="J23" s="134"/>
    </row>
    <row r="24" spans="1:10" ht="7.5" customHeight="1" x14ac:dyDescent="0.35">
      <c r="A24" s="134"/>
      <c r="B24" s="134"/>
      <c r="C24" s="134"/>
      <c r="D24" s="134"/>
      <c r="E24" s="134"/>
      <c r="F24" s="134"/>
      <c r="G24" s="134"/>
      <c r="H24" s="134"/>
      <c r="I24" s="137"/>
      <c r="J24" s="134"/>
    </row>
    <row r="25" spans="1:10" ht="15.5" x14ac:dyDescent="0.35">
      <c r="A25" s="141" t="s">
        <v>212</v>
      </c>
      <c r="B25" s="134"/>
      <c r="C25" s="134"/>
      <c r="D25" s="134"/>
      <c r="E25" s="134"/>
      <c r="F25" s="134"/>
      <c r="G25" s="134"/>
      <c r="H25" s="134"/>
      <c r="I25" s="137"/>
      <c r="J25" s="134"/>
    </row>
    <row r="26" spans="1:10" ht="15.5" x14ac:dyDescent="0.35">
      <c r="B26" s="134" t="s">
        <v>217</v>
      </c>
      <c r="C26" s="134"/>
      <c r="D26" s="134"/>
      <c r="E26" s="134"/>
      <c r="F26" s="134"/>
      <c r="G26" s="134"/>
      <c r="H26" s="134"/>
      <c r="I26" s="137">
        <f>Passivo!L12</f>
        <v>14438.25</v>
      </c>
      <c r="J26" s="134"/>
    </row>
    <row r="27" spans="1:10" ht="15.5" x14ac:dyDescent="0.35">
      <c r="B27" s="134" t="s">
        <v>216</v>
      </c>
      <c r="C27" s="134"/>
      <c r="D27" s="134"/>
      <c r="E27" s="134"/>
      <c r="F27" s="134"/>
      <c r="G27" s="134"/>
      <c r="H27" s="134"/>
      <c r="I27" s="137">
        <f>Passivo!L13</f>
        <v>48056.600000000093</v>
      </c>
      <c r="J27" s="134"/>
    </row>
    <row r="28" spans="1:10" ht="15.5" x14ac:dyDescent="0.35">
      <c r="B28" s="134" t="s">
        <v>213</v>
      </c>
      <c r="C28" s="134"/>
      <c r="D28" s="134"/>
      <c r="E28" s="134"/>
      <c r="F28" s="134"/>
      <c r="G28" s="134"/>
      <c r="H28" s="134"/>
      <c r="I28" s="137">
        <f>Passivo!L14</f>
        <v>-123027.8600000001</v>
      </c>
      <c r="J28" s="134"/>
    </row>
    <row r="29" spans="1:10" ht="15.5" x14ac:dyDescent="0.35">
      <c r="B29" s="134" t="s">
        <v>215</v>
      </c>
      <c r="C29" s="134"/>
      <c r="D29" s="134"/>
      <c r="E29" s="134"/>
      <c r="F29" s="134"/>
      <c r="G29" s="134"/>
      <c r="H29" s="134"/>
      <c r="I29" s="137">
        <f>Passivo!L15+Passivo!L20</f>
        <v>1515360.2800000003</v>
      </c>
      <c r="J29" s="134"/>
    </row>
    <row r="30" spans="1:10" ht="15.5" x14ac:dyDescent="0.35">
      <c r="B30" s="134" t="s">
        <v>214</v>
      </c>
      <c r="C30" s="134"/>
      <c r="D30" s="134"/>
      <c r="E30" s="134"/>
      <c r="F30" s="134"/>
      <c r="G30" s="134"/>
      <c r="H30" s="134"/>
      <c r="I30" s="137">
        <f>Passivo!L16+Passivo!L19</f>
        <v>-20885054.110000003</v>
      </c>
      <c r="J30" s="134"/>
    </row>
    <row r="31" spans="1:10" ht="7.5" customHeight="1" x14ac:dyDescent="0.35">
      <c r="A31" s="134"/>
      <c r="B31" s="134"/>
      <c r="C31" s="134"/>
      <c r="D31" s="134"/>
      <c r="E31" s="134"/>
      <c r="F31" s="134"/>
      <c r="G31" s="134"/>
      <c r="H31" s="134"/>
      <c r="I31" s="137"/>
      <c r="J31" s="134"/>
    </row>
    <row r="32" spans="1:10" ht="9.75" customHeight="1" x14ac:dyDescent="0.35">
      <c r="B32" s="134"/>
      <c r="C32" s="134"/>
      <c r="D32" s="134"/>
      <c r="E32" s="134"/>
      <c r="F32" s="134"/>
      <c r="G32" s="134"/>
      <c r="H32" s="134"/>
      <c r="I32" s="137"/>
      <c r="J32" s="134"/>
    </row>
    <row r="33" spans="1:15" ht="17" x14ac:dyDescent="0.5">
      <c r="A33" s="141" t="s">
        <v>152</v>
      </c>
      <c r="B33" s="134"/>
      <c r="C33" s="134"/>
      <c r="D33" s="134"/>
      <c r="E33" s="134"/>
      <c r="F33" s="134"/>
      <c r="G33" s="134"/>
      <c r="H33" s="134"/>
      <c r="I33" s="156">
        <f>SUM(I8:I30)</f>
        <v>-30165811.820000008</v>
      </c>
      <c r="J33" s="134"/>
    </row>
    <row r="34" spans="1:15" ht="9.75" customHeight="1" x14ac:dyDescent="0.35">
      <c r="B34" s="134"/>
      <c r="C34" s="134"/>
      <c r="D34" s="134"/>
      <c r="E34" s="134"/>
      <c r="F34" s="134"/>
      <c r="G34" s="134"/>
      <c r="H34" s="134"/>
      <c r="I34" s="137"/>
      <c r="J34" s="134"/>
    </row>
    <row r="35" spans="1:15" ht="17.5" x14ac:dyDescent="0.35">
      <c r="A35" s="135" t="s">
        <v>153</v>
      </c>
      <c r="C35" s="134"/>
      <c r="D35" s="134"/>
      <c r="E35" s="134"/>
      <c r="F35" s="134"/>
      <c r="G35" s="134"/>
      <c r="H35" s="134"/>
      <c r="I35" s="137"/>
      <c r="J35" s="134"/>
    </row>
    <row r="36" spans="1:15" ht="15.5" x14ac:dyDescent="0.35">
      <c r="B36" s="134" t="s">
        <v>225</v>
      </c>
      <c r="C36" s="134"/>
      <c r="D36" s="134"/>
      <c r="E36" s="134"/>
      <c r="F36" s="134"/>
      <c r="G36" s="134"/>
      <c r="H36" s="134"/>
      <c r="I36" s="137">
        <v>-92070</v>
      </c>
      <c r="J36" s="134"/>
    </row>
    <row r="37" spans="1:15" ht="15.5" x14ac:dyDescent="0.35">
      <c r="B37" s="134" t="s">
        <v>221</v>
      </c>
      <c r="C37" s="134"/>
      <c r="D37" s="134"/>
      <c r="E37" s="134"/>
      <c r="F37" s="134"/>
      <c r="G37" s="134"/>
      <c r="H37" s="134"/>
      <c r="I37" s="137">
        <f>2436059-2342066.9</f>
        <v>93992.100000000093</v>
      </c>
      <c r="J37" s="134"/>
    </row>
    <row r="38" spans="1:15" ht="15.5" x14ac:dyDescent="0.35">
      <c r="B38" s="134" t="s">
        <v>219</v>
      </c>
      <c r="C38" s="134"/>
      <c r="D38" s="134"/>
      <c r="E38" s="134"/>
      <c r="F38" s="134"/>
      <c r="G38" s="134"/>
      <c r="H38" s="134"/>
      <c r="I38" s="137">
        <f>-5063</f>
        <v>-5063</v>
      </c>
      <c r="J38" s="134"/>
      <c r="K38">
        <v>5063</v>
      </c>
    </row>
    <row r="39" spans="1:15" ht="15.5" x14ac:dyDescent="0.35">
      <c r="B39" s="134" t="s">
        <v>222</v>
      </c>
      <c r="C39" s="134"/>
      <c r="D39" s="134"/>
      <c r="E39" s="134"/>
      <c r="F39" s="134"/>
      <c r="G39" s="134"/>
      <c r="H39" s="134"/>
      <c r="I39" s="137">
        <f>-698916+446485</f>
        <v>-252431</v>
      </c>
      <c r="J39" s="134"/>
      <c r="K39">
        <v>698916</v>
      </c>
      <c r="M39">
        <v>352635</v>
      </c>
    </row>
    <row r="40" spans="1:15" ht="15.5" x14ac:dyDescent="0.35">
      <c r="B40" s="111" t="s">
        <v>220</v>
      </c>
      <c r="C40" s="134"/>
      <c r="D40" s="134"/>
      <c r="E40" s="134"/>
      <c r="F40" s="134"/>
      <c r="G40" s="134"/>
      <c r="H40" s="134"/>
      <c r="I40" s="137">
        <f>-1873176+9868.56</f>
        <v>-1863307.44</v>
      </c>
      <c r="J40" s="134"/>
      <c r="K40">
        <v>1873176</v>
      </c>
    </row>
    <row r="41" spans="1:15" ht="15.5" x14ac:dyDescent="0.35">
      <c r="B41" s="134"/>
      <c r="C41" s="134"/>
      <c r="D41" s="134"/>
      <c r="E41" s="134"/>
      <c r="F41" s="134"/>
      <c r="G41" s="134"/>
      <c r="H41" s="134"/>
      <c r="I41" s="137"/>
      <c r="J41" s="134"/>
    </row>
    <row r="42" spans="1:15" ht="15.5" x14ac:dyDescent="0.35">
      <c r="A42" s="134"/>
      <c r="B42" s="134"/>
      <c r="C42" s="134"/>
      <c r="D42" s="134"/>
      <c r="E42" s="134"/>
      <c r="F42" s="134"/>
      <c r="G42" s="134"/>
      <c r="H42" s="134"/>
      <c r="I42" s="137"/>
      <c r="J42" s="134"/>
    </row>
    <row r="43" spans="1:15" ht="17" x14ac:dyDescent="0.5">
      <c r="A43" s="141" t="s">
        <v>154</v>
      </c>
      <c r="B43" s="134"/>
      <c r="C43" s="134"/>
      <c r="D43" s="134"/>
      <c r="E43" s="134"/>
      <c r="F43" s="134"/>
      <c r="G43" s="134"/>
      <c r="H43" s="134"/>
      <c r="I43" s="156">
        <f>SUM(I33:I42)</f>
        <v>-32284691.160000008</v>
      </c>
      <c r="J43" s="134"/>
    </row>
    <row r="44" spans="1:15" ht="9" customHeight="1" x14ac:dyDescent="0.35">
      <c r="A44" s="134"/>
      <c r="B44" s="134"/>
      <c r="C44" s="134"/>
      <c r="D44" s="134"/>
      <c r="E44" s="134"/>
      <c r="F44" s="134"/>
      <c r="G44" s="134"/>
      <c r="H44" s="134"/>
      <c r="I44" s="137"/>
      <c r="J44" s="134"/>
    </row>
    <row r="45" spans="1:15" ht="17.5" x14ac:dyDescent="0.35">
      <c r="A45" s="135" t="s">
        <v>155</v>
      </c>
      <c r="B45" s="134"/>
      <c r="C45" s="134"/>
      <c r="D45" s="134"/>
      <c r="E45" s="134"/>
      <c r="F45" s="134"/>
      <c r="G45" s="134"/>
      <c r="H45" s="134"/>
      <c r="I45" s="137"/>
      <c r="J45" s="134"/>
    </row>
    <row r="46" spans="1:15" ht="17.5" x14ac:dyDescent="0.35">
      <c r="A46" s="135"/>
      <c r="B46" s="134" t="s">
        <v>224</v>
      </c>
      <c r="C46" s="134"/>
      <c r="D46" s="134"/>
      <c r="E46" s="134"/>
      <c r="F46" s="134"/>
      <c r="G46" s="134"/>
      <c r="H46" s="134"/>
      <c r="I46" s="137">
        <v>-1350000</v>
      </c>
      <c r="J46" s="134"/>
    </row>
    <row r="47" spans="1:15" ht="9.75" customHeight="1" x14ac:dyDescent="0.35">
      <c r="A47" s="134"/>
      <c r="B47" s="134"/>
      <c r="C47" s="134"/>
      <c r="D47" s="134"/>
      <c r="E47" s="134"/>
      <c r="F47" s="134"/>
      <c r="G47" s="134"/>
      <c r="H47" s="134"/>
      <c r="I47" s="137"/>
      <c r="J47" s="134"/>
    </row>
    <row r="48" spans="1:15" ht="18" thickBot="1" x14ac:dyDescent="0.4">
      <c r="A48" s="135" t="s">
        <v>176</v>
      </c>
      <c r="B48" s="134"/>
      <c r="C48" s="134"/>
      <c r="D48" s="134"/>
      <c r="E48" s="134"/>
      <c r="F48" s="134"/>
      <c r="G48" s="134"/>
      <c r="H48" s="134"/>
      <c r="I48" s="154">
        <f>I43+I46</f>
        <v>-33634691.160000011</v>
      </c>
      <c r="J48" s="134"/>
      <c r="K48" s="160">
        <f>I53-I51</f>
        <v>-33634691.149999976</v>
      </c>
      <c r="M48" s="160">
        <f>K48-I48</f>
        <v>1.0000035166740417E-2</v>
      </c>
      <c r="O48" s="160"/>
    </row>
    <row r="49" spans="1:33" ht="16" thickTop="1" x14ac:dyDescent="0.35">
      <c r="A49" s="134"/>
      <c r="B49" s="134"/>
      <c r="C49" s="134"/>
      <c r="D49" s="134"/>
      <c r="E49" s="134"/>
      <c r="F49" s="134"/>
      <c r="G49" s="134"/>
      <c r="H49" s="134"/>
      <c r="I49" s="137"/>
      <c r="J49" s="134"/>
    </row>
    <row r="50" spans="1:33" ht="15.5" x14ac:dyDescent="0.35">
      <c r="A50" s="134" t="s">
        <v>177</v>
      </c>
      <c r="B50" s="134"/>
      <c r="C50" s="134"/>
      <c r="D50" s="134"/>
      <c r="E50" s="134"/>
      <c r="F50" s="134"/>
      <c r="G50" s="134"/>
      <c r="H50" s="134"/>
      <c r="I50" s="137"/>
      <c r="J50" s="134"/>
      <c r="M50" s="160"/>
    </row>
    <row r="51" spans="1:33" ht="15.5" x14ac:dyDescent="0.35">
      <c r="A51" s="134" t="s">
        <v>178</v>
      </c>
      <c r="B51" s="134"/>
      <c r="C51" s="134"/>
      <c r="D51" s="134"/>
      <c r="E51" s="134"/>
      <c r="F51" s="134"/>
      <c r="G51" s="134"/>
      <c r="H51" s="134"/>
      <c r="I51" s="137">
        <f>Ativo!J12+Ativo!J11</f>
        <v>267553497.70999998</v>
      </c>
      <c r="J51" s="134"/>
    </row>
    <row r="52" spans="1:33" ht="15.5" x14ac:dyDescent="0.35">
      <c r="A52" s="134" t="s">
        <v>177</v>
      </c>
      <c r="B52" s="134"/>
      <c r="C52" s="134"/>
      <c r="D52" s="134"/>
      <c r="E52" s="134"/>
      <c r="F52" s="134"/>
      <c r="G52" s="134"/>
      <c r="H52" s="134"/>
      <c r="I52" s="137"/>
      <c r="J52" s="134"/>
      <c r="AF52" s="160"/>
    </row>
    <row r="53" spans="1:33" ht="15.5" x14ac:dyDescent="0.35">
      <c r="A53" s="134" t="s">
        <v>179</v>
      </c>
      <c r="B53" s="134"/>
      <c r="C53" s="134"/>
      <c r="D53" s="134"/>
      <c r="E53" s="134"/>
      <c r="F53" s="134"/>
      <c r="G53" s="134"/>
      <c r="H53" s="134"/>
      <c r="I53" s="137">
        <f>Ativo!H12+Ativo!H11</f>
        <v>233918806.56</v>
      </c>
      <c r="J53" s="134"/>
      <c r="AF53" s="160"/>
    </row>
    <row r="54" spans="1:33" ht="15.5" x14ac:dyDescent="0.35">
      <c r="A54" s="134"/>
      <c r="B54" s="134"/>
      <c r="C54" s="134"/>
      <c r="D54" s="134"/>
      <c r="E54" s="134"/>
      <c r="F54" s="134"/>
      <c r="G54" s="134"/>
      <c r="H54" s="134"/>
      <c r="I54" s="146"/>
      <c r="J54" s="134"/>
      <c r="AG54" s="160"/>
    </row>
    <row r="55" spans="1:33" s="1" customFormat="1" ht="14.25" customHeight="1" x14ac:dyDescent="0.3">
      <c r="A55" s="222" t="s">
        <v>161</v>
      </c>
      <c r="B55" s="222"/>
      <c r="C55" s="222"/>
      <c r="D55" s="222"/>
      <c r="E55" s="222"/>
      <c r="F55" s="222"/>
      <c r="G55" s="222"/>
      <c r="H55" s="222"/>
      <c r="I55" s="222"/>
      <c r="J55" s="143"/>
      <c r="K55" s="143"/>
      <c r="L55" s="143"/>
      <c r="AF55" s="165"/>
    </row>
    <row r="56" spans="1:33" ht="15.5" x14ac:dyDescent="0.35">
      <c r="A56" s="142"/>
      <c r="B56" s="142"/>
      <c r="C56" s="142"/>
      <c r="D56" s="142"/>
      <c r="E56" s="142"/>
      <c r="F56" s="142"/>
      <c r="G56" s="142"/>
      <c r="H56" s="142"/>
      <c r="I56" s="147"/>
      <c r="J56" s="142"/>
      <c r="AF56" s="160"/>
    </row>
    <row r="57" spans="1:33" ht="15.5" x14ac:dyDescent="0.35">
      <c r="A57" s="142"/>
      <c r="B57" s="142"/>
      <c r="C57" s="142"/>
      <c r="D57" s="142"/>
      <c r="E57" s="142"/>
      <c r="F57" s="142"/>
      <c r="G57" s="142"/>
      <c r="H57" s="142"/>
      <c r="I57" s="220">
        <f>I53-I51</f>
        <v>-33634691.149999976</v>
      </c>
      <c r="J57" s="142"/>
    </row>
    <row r="58" spans="1:33" ht="15.5" x14ac:dyDescent="0.35">
      <c r="B58" s="142"/>
      <c r="I58" s="142"/>
    </row>
    <row r="61" spans="1:33" x14ac:dyDescent="0.25">
      <c r="I61" s="160"/>
    </row>
  </sheetData>
  <mergeCells count="5">
    <mergeCell ref="A1:I1"/>
    <mergeCell ref="A2:I2"/>
    <mergeCell ref="A4:I4"/>
    <mergeCell ref="A5:I5"/>
    <mergeCell ref="A55:I55"/>
  </mergeCells>
  <pageMargins left="0.51181102362204722" right="0.51181102362204722" top="0.47244094488188981" bottom="0.35433070866141736" header="0.19685039370078741" footer="0.23622047244094491"/>
  <pageSetup paperSize="9" orientation="portrait" r:id="rId1"/>
  <headerFooter>
    <oddHeader>&amp;R&amp;12Pagina 928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22" workbookViewId="0">
      <selection activeCell="H47" sqref="H47"/>
    </sheetView>
  </sheetViews>
  <sheetFormatPr defaultRowHeight="12.5" x14ac:dyDescent="0.25"/>
  <cols>
    <col min="1" max="1" width="3" customWidth="1"/>
    <col min="2" max="2" width="9.26953125" customWidth="1"/>
    <col min="8" max="8" width="9.453125" customWidth="1"/>
    <col min="9" max="9" width="16.81640625" bestFit="1" customWidth="1"/>
  </cols>
  <sheetData>
    <row r="1" spans="1:10" ht="15" x14ac:dyDescent="0.3">
      <c r="A1" s="234" t="s">
        <v>110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ht="15.5" x14ac:dyDescent="0.35">
      <c r="A2" s="235" t="s">
        <v>111</v>
      </c>
      <c r="B2" s="235"/>
      <c r="C2" s="235"/>
      <c r="D2" s="235"/>
      <c r="E2" s="235"/>
      <c r="F2" s="235"/>
      <c r="G2" s="235"/>
      <c r="H2" s="235"/>
      <c r="I2" s="235"/>
      <c r="J2" s="235"/>
    </row>
    <row r="3" spans="1:10" ht="7.5" customHeight="1" x14ac:dyDescent="0.35">
      <c r="A3" s="134"/>
      <c r="B3" s="134"/>
      <c r="C3" s="134"/>
      <c r="D3" s="134"/>
      <c r="E3" s="134"/>
      <c r="F3" s="134"/>
      <c r="G3" s="134"/>
      <c r="H3" s="134"/>
      <c r="I3" s="134"/>
      <c r="J3" s="134"/>
    </row>
    <row r="4" spans="1:10" ht="15" x14ac:dyDescent="0.3">
      <c r="A4" s="236" t="s">
        <v>147</v>
      </c>
      <c r="B4" s="236"/>
      <c r="C4" s="236"/>
      <c r="D4" s="236"/>
      <c r="E4" s="236"/>
      <c r="F4" s="236"/>
      <c r="G4" s="236"/>
      <c r="H4" s="236"/>
      <c r="I4" s="236"/>
      <c r="J4" s="236"/>
    </row>
    <row r="5" spans="1:10" ht="15" x14ac:dyDescent="0.3">
      <c r="A5" s="234" t="s">
        <v>148</v>
      </c>
      <c r="B5" s="234"/>
      <c r="C5" s="234"/>
      <c r="D5" s="234"/>
      <c r="E5" s="234"/>
      <c r="F5" s="234"/>
      <c r="G5" s="234"/>
      <c r="H5" s="234"/>
      <c r="I5" s="234"/>
      <c r="J5" s="234"/>
    </row>
    <row r="6" spans="1:10" ht="9" customHeight="1" x14ac:dyDescent="0.35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0" ht="17.5" x14ac:dyDescent="0.35">
      <c r="A7" s="135" t="s">
        <v>149</v>
      </c>
      <c r="B7" s="134"/>
      <c r="C7" s="134"/>
      <c r="D7" s="134"/>
      <c r="E7" s="134"/>
      <c r="F7" s="134"/>
      <c r="G7" s="134"/>
      <c r="H7" s="134"/>
      <c r="I7" s="136">
        <v>2008</v>
      </c>
      <c r="J7" s="134"/>
    </row>
    <row r="8" spans="1:10" ht="17" x14ac:dyDescent="0.5">
      <c r="A8" s="134" t="s">
        <v>150</v>
      </c>
      <c r="B8" s="134"/>
      <c r="C8" s="134"/>
      <c r="D8" s="134"/>
      <c r="E8" s="134"/>
      <c r="F8" s="134"/>
      <c r="G8" s="134"/>
      <c r="H8" s="134"/>
      <c r="I8" s="156">
        <v>1161483</v>
      </c>
      <c r="J8" s="134"/>
    </row>
    <row r="9" spans="1:10" ht="15.5" x14ac:dyDescent="0.35">
      <c r="B9" s="157" t="s">
        <v>151</v>
      </c>
      <c r="C9" s="134"/>
      <c r="D9" s="134"/>
      <c r="E9" s="134"/>
      <c r="F9" s="134"/>
      <c r="G9" s="134"/>
      <c r="H9" s="134"/>
      <c r="I9" s="138"/>
      <c r="J9" s="134"/>
    </row>
    <row r="10" spans="1:10" ht="15.5" x14ac:dyDescent="0.35">
      <c r="B10" s="134" t="s">
        <v>187</v>
      </c>
      <c r="C10" s="134"/>
      <c r="D10" s="134"/>
      <c r="E10" s="134"/>
      <c r="F10" s="134"/>
      <c r="G10" s="134"/>
      <c r="H10" s="134"/>
      <c r="I10" s="145">
        <v>1161483</v>
      </c>
      <c r="J10" s="134"/>
    </row>
    <row r="11" spans="1:10" ht="15.5" x14ac:dyDescent="0.35">
      <c r="B11" s="134" t="s">
        <v>188</v>
      </c>
      <c r="C11" s="134"/>
      <c r="D11" s="134"/>
      <c r="E11" s="134"/>
      <c r="F11" s="134"/>
      <c r="G11" s="134"/>
      <c r="H11" s="134"/>
      <c r="I11" s="145">
        <v>1548643</v>
      </c>
      <c r="J11" s="134"/>
    </row>
    <row r="12" spans="1:10" ht="15.5" x14ac:dyDescent="0.35">
      <c r="B12" s="134" t="s">
        <v>162</v>
      </c>
      <c r="C12" s="134"/>
      <c r="D12" s="134"/>
      <c r="E12" s="134"/>
      <c r="F12" s="134"/>
      <c r="G12" s="134"/>
      <c r="H12" s="134"/>
      <c r="I12" s="152">
        <v>959255</v>
      </c>
      <c r="J12" s="134"/>
    </row>
    <row r="13" spans="1:10" ht="15.5" x14ac:dyDescent="0.35">
      <c r="B13" s="134" t="s">
        <v>180</v>
      </c>
      <c r="C13" s="134"/>
      <c r="D13" s="134"/>
      <c r="E13" s="134"/>
      <c r="F13" s="134"/>
      <c r="G13" s="134"/>
      <c r="H13" s="134"/>
      <c r="I13" s="152">
        <v>-41106</v>
      </c>
      <c r="J13" s="134"/>
    </row>
    <row r="14" spans="1:10" ht="15.5" x14ac:dyDescent="0.35">
      <c r="B14" s="134" t="s">
        <v>181</v>
      </c>
      <c r="C14" s="134"/>
      <c r="D14" s="134"/>
      <c r="E14" s="134"/>
      <c r="F14" s="134"/>
      <c r="G14" s="134"/>
      <c r="H14" s="134"/>
      <c r="I14" s="152">
        <v>31170</v>
      </c>
      <c r="J14" s="134"/>
    </row>
    <row r="15" spans="1:10" ht="15.5" x14ac:dyDescent="0.35">
      <c r="B15" s="134" t="s">
        <v>182</v>
      </c>
      <c r="C15" s="134"/>
      <c r="D15" s="134"/>
      <c r="E15" s="134"/>
      <c r="F15" s="134"/>
      <c r="G15" s="134"/>
      <c r="H15" s="134"/>
      <c r="I15" s="152">
        <v>-24740</v>
      </c>
      <c r="J15" s="134"/>
    </row>
    <row r="16" spans="1:10" ht="15.5" x14ac:dyDescent="0.35">
      <c r="B16" s="134" t="s">
        <v>183</v>
      </c>
      <c r="C16" s="134"/>
      <c r="D16" s="134"/>
      <c r="E16" s="134"/>
      <c r="F16" s="134"/>
      <c r="G16" s="134"/>
      <c r="H16" s="134"/>
      <c r="I16" s="152">
        <v>8712</v>
      </c>
      <c r="J16" s="134"/>
    </row>
    <row r="17" spans="1:10" ht="9" customHeight="1" x14ac:dyDescent="0.35">
      <c r="A17" s="134"/>
      <c r="B17" s="134"/>
      <c r="C17" s="134"/>
      <c r="D17" s="134"/>
      <c r="E17" s="134"/>
      <c r="F17" s="134"/>
      <c r="G17" s="134"/>
      <c r="H17" s="134"/>
      <c r="I17" s="153"/>
      <c r="J17" s="140"/>
    </row>
    <row r="18" spans="1:10" ht="15.5" x14ac:dyDescent="0.35">
      <c r="A18" s="141" t="s">
        <v>163</v>
      </c>
      <c r="B18" s="134"/>
      <c r="C18" s="134"/>
      <c r="D18" s="134"/>
      <c r="E18" s="134"/>
      <c r="F18" s="134"/>
      <c r="G18" s="134"/>
      <c r="H18" s="134"/>
      <c r="I18" s="152"/>
      <c r="J18" s="134"/>
    </row>
    <row r="19" spans="1:10" ht="15.5" x14ac:dyDescent="0.35">
      <c r="B19" s="134" t="s">
        <v>164</v>
      </c>
      <c r="C19" s="134"/>
      <c r="D19" s="134"/>
      <c r="E19" s="134"/>
      <c r="F19" s="134"/>
      <c r="G19" s="134"/>
      <c r="H19" s="134"/>
      <c r="I19" s="152">
        <v>963286</v>
      </c>
      <c r="J19" s="134"/>
    </row>
    <row r="20" spans="1:10" ht="15.5" x14ac:dyDescent="0.35">
      <c r="B20" s="134" t="s">
        <v>165</v>
      </c>
      <c r="C20" s="134"/>
      <c r="D20" s="134"/>
      <c r="E20" s="134"/>
      <c r="F20" s="134"/>
      <c r="G20" s="134"/>
      <c r="H20" s="134"/>
      <c r="I20" s="152">
        <v>67059</v>
      </c>
      <c r="J20" s="134"/>
    </row>
    <row r="21" spans="1:10" ht="15.5" x14ac:dyDescent="0.35">
      <c r="B21" s="134" t="s">
        <v>166</v>
      </c>
      <c r="C21" s="134"/>
      <c r="D21" s="134"/>
      <c r="E21" s="134"/>
      <c r="F21" s="134"/>
      <c r="G21" s="134"/>
      <c r="H21" s="134"/>
      <c r="I21" s="152">
        <v>295106</v>
      </c>
      <c r="J21" s="134"/>
    </row>
    <row r="22" spans="1:10" ht="15.5" x14ac:dyDescent="0.35">
      <c r="B22" s="134" t="s">
        <v>167</v>
      </c>
      <c r="C22" s="134"/>
      <c r="D22" s="134"/>
      <c r="E22" s="134"/>
      <c r="F22" s="134"/>
      <c r="G22" s="134"/>
      <c r="H22" s="134"/>
      <c r="I22" s="152">
        <v>-340507</v>
      </c>
      <c r="J22" s="134"/>
    </row>
    <row r="23" spans="1:10" ht="15.5" x14ac:dyDescent="0.35">
      <c r="B23" s="134" t="s">
        <v>168</v>
      </c>
      <c r="C23" s="134"/>
      <c r="D23" s="134"/>
      <c r="E23" s="134"/>
      <c r="F23" s="134"/>
      <c r="G23" s="134"/>
      <c r="H23" s="134"/>
      <c r="I23" s="152">
        <v>4283181</v>
      </c>
      <c r="J23" s="134"/>
    </row>
    <row r="24" spans="1:10" ht="15.5" x14ac:dyDescent="0.35">
      <c r="B24" s="134" t="s">
        <v>169</v>
      </c>
      <c r="C24" s="134"/>
      <c r="D24" s="134"/>
      <c r="E24" s="134"/>
      <c r="F24" s="134"/>
      <c r="G24" s="134"/>
      <c r="H24" s="134"/>
      <c r="I24" s="152">
        <v>1836000</v>
      </c>
      <c r="J24" s="134"/>
    </row>
    <row r="25" spans="1:10" ht="7.5" customHeight="1" x14ac:dyDescent="0.35">
      <c r="A25" s="134"/>
      <c r="B25" s="134"/>
      <c r="C25" s="134"/>
      <c r="D25" s="134"/>
      <c r="E25" s="134"/>
      <c r="F25" s="134"/>
      <c r="G25" s="134"/>
      <c r="H25" s="134"/>
      <c r="I25" s="152"/>
      <c r="J25" s="134"/>
    </row>
    <row r="26" spans="1:10" ht="15.5" x14ac:dyDescent="0.35">
      <c r="A26" s="141" t="s">
        <v>170</v>
      </c>
      <c r="B26" s="134"/>
      <c r="C26" s="134"/>
      <c r="D26" s="134"/>
      <c r="E26" s="134"/>
      <c r="F26" s="134"/>
      <c r="G26" s="134"/>
      <c r="H26" s="134"/>
      <c r="I26" s="152"/>
      <c r="J26" s="134"/>
    </row>
    <row r="27" spans="1:10" ht="15.5" x14ac:dyDescent="0.35">
      <c r="B27" s="134" t="s">
        <v>184</v>
      </c>
      <c r="C27" s="134"/>
      <c r="D27" s="134"/>
      <c r="E27" s="134"/>
      <c r="F27" s="134"/>
      <c r="G27" s="134"/>
      <c r="H27" s="134"/>
      <c r="I27" s="152">
        <v>-423</v>
      </c>
      <c r="J27" s="134"/>
    </row>
    <row r="28" spans="1:10" ht="15.5" x14ac:dyDescent="0.35">
      <c r="B28" s="134" t="s">
        <v>171</v>
      </c>
      <c r="C28" s="134"/>
      <c r="D28" s="134"/>
      <c r="E28" s="134"/>
      <c r="F28" s="134"/>
      <c r="G28" s="134"/>
      <c r="H28" s="134"/>
      <c r="I28" s="152">
        <v>-114974</v>
      </c>
      <c r="J28" s="134"/>
    </row>
    <row r="29" spans="1:10" ht="15.5" x14ac:dyDescent="0.35">
      <c r="B29" s="134" t="s">
        <v>172</v>
      </c>
      <c r="C29" s="134"/>
      <c r="D29" s="134"/>
      <c r="E29" s="134"/>
      <c r="F29" s="134"/>
      <c r="G29" s="134"/>
      <c r="H29" s="134"/>
      <c r="I29" s="153">
        <v>305862</v>
      </c>
      <c r="J29" s="134"/>
    </row>
    <row r="30" spans="1:10" ht="15.5" x14ac:dyDescent="0.35">
      <c r="B30" s="134" t="s">
        <v>173</v>
      </c>
      <c r="C30" s="134"/>
      <c r="D30" s="134"/>
      <c r="E30" s="134"/>
      <c r="F30" s="134"/>
      <c r="G30" s="134"/>
      <c r="H30" s="134"/>
      <c r="I30" s="153">
        <v>-681850</v>
      </c>
      <c r="J30" s="134"/>
    </row>
    <row r="31" spans="1:10" ht="15.5" x14ac:dyDescent="0.35">
      <c r="B31" s="134" t="s">
        <v>174</v>
      </c>
      <c r="C31" s="134"/>
      <c r="D31" s="134"/>
      <c r="E31" s="134"/>
      <c r="F31" s="134"/>
      <c r="G31" s="134"/>
      <c r="H31" s="134"/>
      <c r="I31" s="155">
        <v>45284673</v>
      </c>
      <c r="J31" s="134"/>
    </row>
    <row r="32" spans="1:10" ht="7.5" customHeight="1" x14ac:dyDescent="0.35">
      <c r="A32" s="134"/>
      <c r="B32" s="134"/>
      <c r="C32" s="134"/>
      <c r="D32" s="134"/>
      <c r="E32" s="134"/>
      <c r="F32" s="134"/>
      <c r="G32" s="134"/>
      <c r="H32" s="134"/>
      <c r="I32" s="144"/>
      <c r="J32" s="134"/>
    </row>
    <row r="33" spans="1:10" ht="9.75" customHeight="1" x14ac:dyDescent="0.35">
      <c r="B33" s="134"/>
      <c r="C33" s="134"/>
      <c r="D33" s="134"/>
      <c r="E33" s="134"/>
      <c r="F33" s="134"/>
      <c r="G33" s="134"/>
      <c r="H33" s="134"/>
      <c r="I33" s="137"/>
      <c r="J33" s="134"/>
    </row>
    <row r="34" spans="1:10" ht="17" x14ac:dyDescent="0.5">
      <c r="A34" s="141" t="s">
        <v>152</v>
      </c>
      <c r="B34" s="134"/>
      <c r="C34" s="134"/>
      <c r="D34" s="134"/>
      <c r="E34" s="134"/>
      <c r="F34" s="134"/>
      <c r="G34" s="134"/>
      <c r="H34" s="134"/>
      <c r="I34" s="156">
        <f>SUM(I8:I31)</f>
        <v>56702313</v>
      </c>
      <c r="J34" s="134"/>
    </row>
    <row r="35" spans="1:10" ht="9.75" customHeight="1" x14ac:dyDescent="0.35">
      <c r="B35" s="134"/>
      <c r="C35" s="134"/>
      <c r="D35" s="134"/>
      <c r="E35" s="134"/>
      <c r="F35" s="134"/>
      <c r="G35" s="134"/>
      <c r="H35" s="134"/>
      <c r="I35" s="137"/>
      <c r="J35" s="134"/>
    </row>
    <row r="36" spans="1:10" ht="17.5" x14ac:dyDescent="0.35">
      <c r="A36" s="135" t="s">
        <v>153</v>
      </c>
      <c r="C36" s="134"/>
      <c r="D36" s="134"/>
      <c r="E36" s="134"/>
      <c r="F36" s="134"/>
      <c r="G36" s="134"/>
      <c r="H36" s="134"/>
      <c r="I36" s="137"/>
      <c r="J36" s="134"/>
    </row>
    <row r="37" spans="1:10" ht="15.5" x14ac:dyDescent="0.35">
      <c r="B37" s="134" t="s">
        <v>175</v>
      </c>
      <c r="C37" s="134"/>
      <c r="D37" s="134"/>
      <c r="E37" s="134"/>
      <c r="F37" s="134"/>
      <c r="G37" s="134"/>
      <c r="H37" s="134"/>
      <c r="I37" s="152">
        <v>6000000</v>
      </c>
      <c r="J37" s="134"/>
    </row>
    <row r="38" spans="1:10" ht="15.5" x14ac:dyDescent="0.35">
      <c r="B38" s="134" t="s">
        <v>189</v>
      </c>
      <c r="C38" s="134"/>
      <c r="D38" s="134"/>
      <c r="E38" s="134"/>
      <c r="F38" s="134"/>
      <c r="G38" s="134"/>
      <c r="H38" s="134"/>
      <c r="I38" s="152">
        <v>-1491839</v>
      </c>
      <c r="J38" s="134"/>
    </row>
    <row r="39" spans="1:10" ht="15.5" x14ac:dyDescent="0.35">
      <c r="B39" s="134" t="s">
        <v>190</v>
      </c>
      <c r="C39" s="134"/>
      <c r="D39" s="134"/>
      <c r="E39" s="134"/>
      <c r="F39" s="134"/>
      <c r="G39" s="134"/>
      <c r="H39" s="134"/>
      <c r="I39" s="152">
        <v>-1989118</v>
      </c>
      <c r="J39" s="134"/>
    </row>
    <row r="40" spans="1:10" ht="15.5" x14ac:dyDescent="0.35">
      <c r="B40" s="134" t="s">
        <v>186</v>
      </c>
      <c r="C40" s="134"/>
      <c r="D40" s="134"/>
      <c r="E40" s="134"/>
      <c r="F40" s="134"/>
      <c r="G40" s="134"/>
      <c r="H40" s="134"/>
      <c r="I40" s="152">
        <v>-3941010</v>
      </c>
      <c r="J40" s="134"/>
    </row>
    <row r="41" spans="1:10" ht="15.5" x14ac:dyDescent="0.35">
      <c r="B41" s="111" t="s">
        <v>185</v>
      </c>
      <c r="C41" s="134"/>
      <c r="D41" s="134"/>
      <c r="E41" s="134"/>
      <c r="F41" s="134"/>
      <c r="G41" s="134"/>
      <c r="H41" s="134"/>
      <c r="I41" s="152">
        <v>-89732</v>
      </c>
      <c r="J41" s="134"/>
    </row>
    <row r="42" spans="1:10" ht="15.5" x14ac:dyDescent="0.35">
      <c r="A42" s="134"/>
      <c r="B42" s="134"/>
      <c r="C42" s="134"/>
      <c r="D42" s="134"/>
      <c r="E42" s="134"/>
      <c r="F42" s="134"/>
      <c r="G42" s="134"/>
      <c r="H42" s="134"/>
      <c r="I42" s="139"/>
      <c r="J42" s="134"/>
    </row>
    <row r="43" spans="1:10" ht="17" x14ac:dyDescent="0.5">
      <c r="A43" s="141" t="s">
        <v>154</v>
      </c>
      <c r="B43" s="134"/>
      <c r="C43" s="134"/>
      <c r="D43" s="134"/>
      <c r="E43" s="134"/>
      <c r="F43" s="134"/>
      <c r="G43" s="134"/>
      <c r="H43" s="134"/>
      <c r="I43" s="156">
        <f>SUM(I34:I42)</f>
        <v>55190614</v>
      </c>
      <c r="J43" s="134"/>
    </row>
    <row r="44" spans="1:10" ht="10.5" customHeight="1" x14ac:dyDescent="0.35">
      <c r="A44" s="134"/>
      <c r="B44" s="134"/>
      <c r="C44" s="134"/>
      <c r="D44" s="134"/>
      <c r="E44" s="134"/>
      <c r="F44" s="134"/>
      <c r="G44" s="134"/>
      <c r="H44" s="134"/>
      <c r="I44" s="137"/>
      <c r="J44" s="134"/>
    </row>
    <row r="45" spans="1:10" ht="17.5" x14ac:dyDescent="0.35">
      <c r="A45" s="135" t="s">
        <v>155</v>
      </c>
      <c r="B45" s="134"/>
      <c r="C45" s="134"/>
      <c r="D45" s="134"/>
      <c r="E45" s="134"/>
      <c r="F45" s="134"/>
      <c r="G45" s="134"/>
      <c r="H45" s="134"/>
      <c r="I45" s="137">
        <v>0</v>
      </c>
      <c r="J45" s="134"/>
    </row>
    <row r="46" spans="1:10" ht="12" customHeight="1" x14ac:dyDescent="0.35">
      <c r="A46" s="134"/>
      <c r="B46" s="134"/>
      <c r="C46" s="134"/>
      <c r="D46" s="134"/>
      <c r="E46" s="134"/>
      <c r="F46" s="134"/>
      <c r="G46" s="134"/>
      <c r="H46" s="134"/>
      <c r="I46" s="137"/>
      <c r="J46" s="134"/>
    </row>
    <row r="47" spans="1:10" ht="18" thickBot="1" x14ac:dyDescent="0.4">
      <c r="A47" s="135" t="s">
        <v>176</v>
      </c>
      <c r="B47" s="134"/>
      <c r="C47" s="134"/>
      <c r="D47" s="134"/>
      <c r="E47" s="134"/>
      <c r="F47" s="134"/>
      <c r="G47" s="134"/>
      <c r="H47" s="134"/>
      <c r="I47" s="154">
        <f>I43+I45</f>
        <v>55190614</v>
      </c>
      <c r="J47" s="134"/>
    </row>
    <row r="48" spans="1:10" ht="16" thickTop="1" x14ac:dyDescent="0.35">
      <c r="A48" s="134"/>
      <c r="B48" s="134"/>
      <c r="C48" s="134"/>
      <c r="D48" s="134"/>
      <c r="E48" s="134"/>
      <c r="F48" s="134"/>
      <c r="G48" s="134"/>
      <c r="H48" s="134"/>
      <c r="I48" s="137"/>
      <c r="J48" s="134"/>
    </row>
    <row r="49" spans="1:12" ht="15.5" x14ac:dyDescent="0.35">
      <c r="A49" s="134" t="s">
        <v>177</v>
      </c>
      <c r="B49" s="134"/>
      <c r="C49" s="134"/>
      <c r="D49" s="134"/>
      <c r="E49" s="134"/>
      <c r="F49" s="134"/>
      <c r="G49" s="134"/>
      <c r="H49" s="134"/>
      <c r="I49" s="137"/>
      <c r="J49" s="134"/>
    </row>
    <row r="50" spans="1:12" ht="15.5" x14ac:dyDescent="0.35">
      <c r="A50" s="134" t="s">
        <v>178</v>
      </c>
      <c r="B50" s="134"/>
      <c r="C50" s="134"/>
      <c r="D50" s="134"/>
      <c r="E50" s="134"/>
      <c r="F50" s="134"/>
      <c r="G50" s="134"/>
      <c r="H50" s="134"/>
      <c r="I50" s="137">
        <f>34962547+148838433</f>
        <v>183800980</v>
      </c>
      <c r="J50" s="134"/>
    </row>
    <row r="51" spans="1:12" ht="15.5" x14ac:dyDescent="0.35">
      <c r="A51" s="134" t="s">
        <v>177</v>
      </c>
      <c r="B51" s="134"/>
      <c r="C51" s="134"/>
      <c r="D51" s="134"/>
      <c r="E51" s="134"/>
      <c r="F51" s="134"/>
      <c r="G51" s="134"/>
      <c r="H51" s="134"/>
      <c r="I51" s="137"/>
      <c r="J51" s="134"/>
    </row>
    <row r="52" spans="1:12" ht="15.5" x14ac:dyDescent="0.35">
      <c r="A52" s="134" t="s">
        <v>179</v>
      </c>
      <c r="B52" s="134"/>
      <c r="C52" s="134"/>
      <c r="D52" s="134"/>
      <c r="E52" s="134"/>
      <c r="F52" s="134"/>
      <c r="G52" s="134"/>
      <c r="H52" s="134"/>
      <c r="I52" s="137">
        <f>9971563+229020031</f>
        <v>238991594</v>
      </c>
      <c r="J52" s="134"/>
    </row>
    <row r="53" spans="1:12" ht="15.5" x14ac:dyDescent="0.35">
      <c r="A53" s="134"/>
      <c r="B53" s="134"/>
      <c r="C53" s="134"/>
      <c r="D53" s="134"/>
      <c r="E53" s="134"/>
      <c r="F53" s="134"/>
      <c r="G53" s="134"/>
      <c r="H53" s="134"/>
      <c r="I53" s="146"/>
      <c r="J53" s="134"/>
    </row>
    <row r="54" spans="1:12" s="1" customFormat="1" ht="14.25" customHeight="1" x14ac:dyDescent="0.3">
      <c r="A54" s="222" t="s">
        <v>161</v>
      </c>
      <c r="B54" s="222"/>
      <c r="C54" s="222"/>
      <c r="D54" s="222"/>
      <c r="E54" s="222"/>
      <c r="F54" s="222"/>
      <c r="G54" s="222"/>
      <c r="H54" s="222"/>
      <c r="I54" s="222"/>
      <c r="J54" s="222"/>
      <c r="K54" s="143"/>
      <c r="L54" s="143"/>
    </row>
    <row r="55" spans="1:12" ht="15.5" x14ac:dyDescent="0.35">
      <c r="A55" s="142"/>
      <c r="B55" s="142"/>
      <c r="C55" s="142"/>
      <c r="D55" s="142"/>
      <c r="E55" s="142"/>
      <c r="F55" s="142"/>
      <c r="G55" s="142"/>
      <c r="H55" s="142"/>
      <c r="I55" s="147"/>
      <c r="J55" s="142"/>
    </row>
    <row r="56" spans="1:12" ht="15.5" x14ac:dyDescent="0.35">
      <c r="A56" s="142"/>
      <c r="B56" s="142"/>
      <c r="C56" s="142"/>
      <c r="D56" s="142"/>
      <c r="E56" s="142"/>
      <c r="F56" s="142"/>
      <c r="G56" s="142"/>
      <c r="H56" s="142"/>
      <c r="I56" s="142"/>
      <c r="J56" s="142"/>
    </row>
    <row r="57" spans="1:12" ht="15.5" x14ac:dyDescent="0.35">
      <c r="B57" s="142"/>
      <c r="I57" s="142"/>
    </row>
  </sheetData>
  <mergeCells count="5">
    <mergeCell ref="A1:J1"/>
    <mergeCell ref="A2:J2"/>
    <mergeCell ref="A4:J4"/>
    <mergeCell ref="A5:J5"/>
    <mergeCell ref="A54:J54"/>
  </mergeCells>
  <pageMargins left="0.511811024" right="0.511811024" top="0.36" bottom="0.36" header="0.21" footer="0.23"/>
  <pageSetup paperSize="9" orientation="portrait" r:id="rId1"/>
  <ignoredErrors>
    <ignoredError sqref="I34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topLeftCell="A5" workbookViewId="0">
      <selection activeCell="G53" sqref="G53"/>
    </sheetView>
  </sheetViews>
  <sheetFormatPr defaultColWidth="9.1796875" defaultRowHeight="14" x14ac:dyDescent="0.3"/>
  <cols>
    <col min="1" max="2" width="4.7265625" style="1" customWidth="1"/>
    <col min="3" max="6" width="9.1796875" style="1"/>
    <col min="7" max="7" width="11.54296875" style="1" customWidth="1"/>
    <col min="8" max="8" width="16.1796875" style="7" customWidth="1"/>
    <col min="9" max="9" width="1.81640625" style="7" customWidth="1"/>
    <col min="10" max="10" width="16.1796875" style="7" customWidth="1"/>
    <col min="11" max="11" width="0.1796875" style="7" customWidth="1"/>
    <col min="12" max="13" width="9.1796875" style="1"/>
    <col min="14" max="14" width="11.1796875" style="1" bestFit="1" customWidth="1"/>
    <col min="15" max="16384" width="9.1796875" style="1"/>
  </cols>
  <sheetData>
    <row r="1" spans="1:12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69"/>
    </row>
    <row r="2" spans="1:12" x14ac:dyDescent="0.3">
      <c r="A2" s="225" t="s">
        <v>1</v>
      </c>
      <c r="B2" s="225"/>
      <c r="C2" s="225"/>
      <c r="D2" s="225"/>
      <c r="E2" s="225"/>
      <c r="F2" s="225"/>
      <c r="G2" s="225"/>
      <c r="H2" s="225"/>
      <c r="I2" s="225"/>
      <c r="J2" s="225"/>
      <c r="K2" s="24"/>
    </row>
    <row r="3" spans="1:12" ht="7.5" customHeight="1" x14ac:dyDescent="0.3"/>
    <row r="4" spans="1:12" x14ac:dyDescent="0.3">
      <c r="A4" s="226" t="s">
        <v>228</v>
      </c>
      <c r="B4" s="226"/>
      <c r="C4" s="226"/>
      <c r="D4" s="226"/>
      <c r="E4" s="226"/>
      <c r="F4" s="226"/>
      <c r="G4" s="226"/>
      <c r="H4" s="226"/>
      <c r="I4" s="226"/>
      <c r="J4" s="226"/>
      <c r="K4" s="70"/>
    </row>
    <row r="5" spans="1:12" x14ac:dyDescent="0.3">
      <c r="A5" s="224" t="s">
        <v>90</v>
      </c>
      <c r="B5" s="224"/>
      <c r="C5" s="224"/>
      <c r="D5" s="224"/>
      <c r="E5" s="224"/>
      <c r="F5" s="224"/>
      <c r="G5" s="224"/>
      <c r="H5" s="224"/>
      <c r="I5" s="224"/>
      <c r="J5" s="224"/>
      <c r="K5" s="69"/>
    </row>
    <row r="6" spans="1:12" x14ac:dyDescent="0.3">
      <c r="H6" s="237" t="s">
        <v>43</v>
      </c>
      <c r="I6" s="237"/>
      <c r="J6" s="237"/>
      <c r="K6" s="176"/>
    </row>
    <row r="7" spans="1:12" ht="17" x14ac:dyDescent="0.6">
      <c r="H7" s="177" t="s">
        <v>202</v>
      </c>
      <c r="I7" s="177"/>
      <c r="J7" s="177" t="s">
        <v>192</v>
      </c>
      <c r="K7" s="178"/>
    </row>
    <row r="9" spans="1:12" ht="14.5" thickBot="1" x14ac:dyDescent="0.35">
      <c r="A9" s="37" t="s">
        <v>229</v>
      </c>
      <c r="B9" s="9"/>
      <c r="C9" s="9"/>
      <c r="D9" s="9"/>
      <c r="E9" s="9"/>
      <c r="H9" s="179">
        <f>SUM(H10+H19)</f>
        <v>-2713706.11</v>
      </c>
      <c r="I9" s="180"/>
      <c r="J9" s="179">
        <f>SUM(J10+J19)</f>
        <v>41645693</v>
      </c>
    </row>
    <row r="10" spans="1:12" s="19" customFormat="1" ht="16" thickTop="1" x14ac:dyDescent="0.25">
      <c r="A10" s="181" t="s">
        <v>230</v>
      </c>
      <c r="H10" s="79">
        <f>SUM(H11:H17)</f>
        <v>-2727303.11</v>
      </c>
      <c r="I10" s="182"/>
      <c r="J10" s="79">
        <f>SUM(J11:J17)</f>
        <v>1470736</v>
      </c>
      <c r="K10" s="183"/>
    </row>
    <row r="11" spans="1:12" x14ac:dyDescent="0.3">
      <c r="B11" s="1" t="s">
        <v>231</v>
      </c>
      <c r="H11" s="6">
        <v>-4445792.21</v>
      </c>
      <c r="J11" s="6">
        <v>-3179003</v>
      </c>
    </row>
    <row r="12" spans="1:12" x14ac:dyDescent="0.3">
      <c r="B12" s="1" t="s">
        <v>232</v>
      </c>
      <c r="H12" s="6">
        <v>1716567</v>
      </c>
      <c r="J12" s="6">
        <v>1262446</v>
      </c>
    </row>
    <row r="13" spans="1:12" x14ac:dyDescent="0.3">
      <c r="B13" s="1" t="s">
        <v>233</v>
      </c>
      <c r="H13" s="6">
        <v>0</v>
      </c>
      <c r="J13" s="6">
        <v>24740</v>
      </c>
    </row>
    <row r="14" spans="1:12" ht="15.5" x14ac:dyDescent="0.35">
      <c r="B14" s="1" t="s">
        <v>234</v>
      </c>
      <c r="H14" s="137">
        <v>0</v>
      </c>
      <c r="J14" s="6">
        <v>1530000</v>
      </c>
      <c r="L14" s="101"/>
    </row>
    <row r="15" spans="1:12" x14ac:dyDescent="0.3">
      <c r="B15" s="1" t="s">
        <v>235</v>
      </c>
      <c r="H15" s="6">
        <v>0</v>
      </c>
      <c r="J15" s="6">
        <v>1832553</v>
      </c>
    </row>
    <row r="16" spans="1:12" x14ac:dyDescent="0.3">
      <c r="B16" s="1" t="s">
        <v>253</v>
      </c>
      <c r="H16" s="6">
        <v>-92070</v>
      </c>
      <c r="I16" s="7">
        <v>0</v>
      </c>
      <c r="J16" s="6">
        <v>0</v>
      </c>
      <c r="L16" s="101"/>
    </row>
    <row r="17" spans="1:14" x14ac:dyDescent="0.3">
      <c r="B17" s="1" t="s">
        <v>221</v>
      </c>
      <c r="H17" s="6">
        <f>2436059-2342066.9</f>
        <v>93992.100000000093</v>
      </c>
      <c r="J17" s="6">
        <v>0</v>
      </c>
    </row>
    <row r="18" spans="1:14" x14ac:dyDescent="0.3">
      <c r="H18" s="6"/>
      <c r="J18" s="6"/>
    </row>
    <row r="19" spans="1:14" s="19" customFormat="1" ht="15.5" x14ac:dyDescent="0.25">
      <c r="A19" s="181" t="s">
        <v>236</v>
      </c>
      <c r="H19" s="79">
        <f>SUM(H20:H23)</f>
        <v>13597</v>
      </c>
      <c r="I19" s="182"/>
      <c r="J19" s="79">
        <f>SUM(J20:J23)</f>
        <v>40174957</v>
      </c>
      <c r="K19" s="183"/>
    </row>
    <row r="20" spans="1:14" s="16" customFormat="1" hidden="1" x14ac:dyDescent="0.25">
      <c r="A20" s="68"/>
      <c r="B20" s="184" t="s">
        <v>88</v>
      </c>
      <c r="C20" s="184"/>
      <c r="D20" s="184"/>
      <c r="E20" s="184"/>
      <c r="H20" s="185">
        <v>0</v>
      </c>
      <c r="I20" s="186"/>
      <c r="J20" s="185">
        <v>0</v>
      </c>
      <c r="K20" s="186"/>
    </row>
    <row r="21" spans="1:14" s="16" customFormat="1" x14ac:dyDescent="0.3">
      <c r="A21" s="68"/>
      <c r="B21" s="1" t="s">
        <v>254</v>
      </c>
      <c r="C21" s="1"/>
      <c r="D21" s="1"/>
      <c r="E21" s="1"/>
      <c r="F21" s="1"/>
      <c r="G21" s="1"/>
      <c r="H21" s="6">
        <f>411917+125842-142959-381203</f>
        <v>13597</v>
      </c>
      <c r="I21" s="7"/>
      <c r="J21" s="6">
        <f>916785-75506</f>
        <v>841279</v>
      </c>
      <c r="K21" s="186"/>
    </row>
    <row r="22" spans="1:14" s="16" customFormat="1" x14ac:dyDescent="0.3">
      <c r="A22" s="68"/>
      <c r="B22" s="1" t="s">
        <v>252</v>
      </c>
      <c r="C22" s="1"/>
      <c r="D22" s="1"/>
      <c r="E22" s="1"/>
      <c r="F22" s="1"/>
      <c r="G22" s="1"/>
      <c r="H22" s="6">
        <v>0</v>
      </c>
      <c r="I22" s="7"/>
      <c r="J22" s="6">
        <v>39333678</v>
      </c>
      <c r="K22" s="186"/>
    </row>
    <row r="23" spans="1:14" x14ac:dyDescent="0.3">
      <c r="C23" s="5"/>
      <c r="H23" s="6"/>
      <c r="J23" s="6"/>
    </row>
    <row r="24" spans="1:14" ht="14.5" thickBot="1" x14ac:dyDescent="0.35">
      <c r="A24" s="9" t="s">
        <v>237</v>
      </c>
      <c r="B24" s="9"/>
      <c r="C24" s="9"/>
      <c r="D24" s="9"/>
      <c r="E24" s="9"/>
      <c r="H24" s="179">
        <f>SUM(H25:H34)</f>
        <v>12671171</v>
      </c>
      <c r="I24" s="180"/>
      <c r="J24" s="179">
        <f>SUM(J25:J34)</f>
        <v>45587946</v>
      </c>
    </row>
    <row r="25" spans="1:14" ht="14.5" thickTop="1" x14ac:dyDescent="0.3">
      <c r="B25" s="1" t="s">
        <v>238</v>
      </c>
      <c r="H25" s="187">
        <v>4693226</v>
      </c>
      <c r="I25" s="188"/>
      <c r="J25" s="187">
        <v>0</v>
      </c>
      <c r="L25" s="101"/>
    </row>
    <row r="26" spans="1:14" x14ac:dyDescent="0.3">
      <c r="B26" s="1" t="s">
        <v>239</v>
      </c>
      <c r="H26" s="6">
        <v>5063</v>
      </c>
      <c r="J26" s="6">
        <v>1321</v>
      </c>
    </row>
    <row r="27" spans="1:14" x14ac:dyDescent="0.3">
      <c r="B27" s="1" t="s">
        <v>240</v>
      </c>
      <c r="H27" s="6">
        <f>670603+28313-446485</f>
        <v>252431</v>
      </c>
      <c r="J27" s="6">
        <v>4258418</v>
      </c>
    </row>
    <row r="28" spans="1:14" x14ac:dyDescent="0.3">
      <c r="B28" s="1" t="s">
        <v>241</v>
      </c>
      <c r="H28" s="6">
        <f>1873176-9869</f>
        <v>1863307</v>
      </c>
      <c r="J28" s="6">
        <v>2282109</v>
      </c>
      <c r="L28" s="101"/>
    </row>
    <row r="29" spans="1:14" x14ac:dyDescent="0.3">
      <c r="B29" s="95" t="s">
        <v>251</v>
      </c>
      <c r="C29" s="95"/>
      <c r="D29" s="95"/>
      <c r="E29" s="95"/>
      <c r="H29" s="187">
        <v>5832404</v>
      </c>
      <c r="J29" s="187">
        <v>33735169</v>
      </c>
    </row>
    <row r="30" spans="1:14" hidden="1" x14ac:dyDescent="0.3">
      <c r="B30" s="1" t="s">
        <v>255</v>
      </c>
      <c r="H30" s="6"/>
      <c r="J30" s="6"/>
      <c r="L30" s="101"/>
    </row>
    <row r="31" spans="1:14" ht="15.5" x14ac:dyDescent="0.35">
      <c r="B31" s="1" t="s">
        <v>242</v>
      </c>
      <c r="H31" s="137">
        <v>0</v>
      </c>
      <c r="J31" s="6">
        <v>2025000</v>
      </c>
      <c r="M31" s="189"/>
      <c r="N31" s="129"/>
    </row>
    <row r="32" spans="1:14" x14ac:dyDescent="0.3">
      <c r="A32" s="95"/>
      <c r="B32" s="95" t="s">
        <v>97</v>
      </c>
      <c r="C32" s="95"/>
      <c r="D32" s="95"/>
      <c r="E32" s="95"/>
      <c r="F32" s="95"/>
      <c r="H32" s="187">
        <v>0</v>
      </c>
      <c r="J32" s="187">
        <v>551063</v>
      </c>
    </row>
    <row r="33" spans="1:11" x14ac:dyDescent="0.3">
      <c r="B33" s="1" t="s">
        <v>243</v>
      </c>
      <c r="H33" s="6">
        <v>0</v>
      </c>
      <c r="J33" s="6">
        <v>2710126</v>
      </c>
    </row>
    <row r="34" spans="1:11" s="5" customFormat="1" x14ac:dyDescent="0.3">
      <c r="A34" s="190"/>
      <c r="B34" s="1" t="s">
        <v>77</v>
      </c>
      <c r="C34" s="1"/>
      <c r="D34" s="1"/>
      <c r="E34" s="1"/>
      <c r="F34" s="1"/>
      <c r="G34" s="1"/>
      <c r="H34" s="6">
        <v>24740</v>
      </c>
      <c r="I34" s="7"/>
      <c r="J34" s="6">
        <v>24740</v>
      </c>
      <c r="K34" s="7"/>
    </row>
    <row r="35" spans="1:11" x14ac:dyDescent="0.3">
      <c r="A35" s="162"/>
      <c r="H35" s="6"/>
      <c r="J35" s="6"/>
    </row>
    <row r="36" spans="1:11" ht="14.5" thickBot="1" x14ac:dyDescent="0.35">
      <c r="A36" s="191" t="s">
        <v>244</v>
      </c>
      <c r="B36" s="192"/>
      <c r="C36" s="192"/>
      <c r="D36" s="193"/>
      <c r="E36" s="193"/>
      <c r="H36" s="194">
        <f>H9-H24</f>
        <v>-15384877.109999999</v>
      </c>
      <c r="I36" s="195"/>
      <c r="J36" s="194">
        <f>J9-J24</f>
        <v>-3942253</v>
      </c>
    </row>
    <row r="37" spans="1:11" ht="14.5" thickTop="1" x14ac:dyDescent="0.3"/>
    <row r="38" spans="1:11" x14ac:dyDescent="0.3">
      <c r="A38" s="226" t="s">
        <v>245</v>
      </c>
      <c r="B38" s="226"/>
      <c r="C38" s="226"/>
      <c r="D38" s="226"/>
      <c r="E38" s="226"/>
      <c r="F38" s="226"/>
      <c r="G38" s="226"/>
      <c r="H38" s="226"/>
      <c r="I38" s="226"/>
      <c r="J38" s="226"/>
      <c r="K38" s="226"/>
    </row>
    <row r="40" spans="1:11" s="19" customFormat="1" ht="15.5" x14ac:dyDescent="0.25">
      <c r="A40" s="196" t="s">
        <v>246</v>
      </c>
      <c r="H40" s="79">
        <f>SUM(H41-H42)</f>
        <v>-30332700</v>
      </c>
      <c r="I40" s="197"/>
      <c r="J40" s="79">
        <f>SUM(J41-J42)</f>
        <v>33129199</v>
      </c>
      <c r="K40" s="197"/>
    </row>
    <row r="41" spans="1:11" x14ac:dyDescent="0.3">
      <c r="B41" s="1" t="s">
        <v>247</v>
      </c>
      <c r="H41" s="6">
        <v>248529906</v>
      </c>
      <c r="J41" s="6">
        <v>278862606</v>
      </c>
    </row>
    <row r="42" spans="1:11" x14ac:dyDescent="0.3">
      <c r="B42" s="1" t="s">
        <v>248</v>
      </c>
      <c r="H42" s="6">
        <v>278862606</v>
      </c>
      <c r="J42" s="6">
        <v>245733407</v>
      </c>
    </row>
    <row r="43" spans="1:11" x14ac:dyDescent="0.3">
      <c r="H43" s="6"/>
      <c r="J43" s="6"/>
    </row>
    <row r="44" spans="1:11" s="19" customFormat="1" ht="15.5" x14ac:dyDescent="0.25">
      <c r="A44" s="196" t="s">
        <v>249</v>
      </c>
      <c r="H44" s="79">
        <f>SUM(H45-H46)</f>
        <v>-14947823</v>
      </c>
      <c r="I44" s="197"/>
      <c r="J44" s="79">
        <f>SUM(J45-J46)</f>
        <v>37071452</v>
      </c>
      <c r="K44" s="197"/>
    </row>
    <row r="45" spans="1:11" x14ac:dyDescent="0.3">
      <c r="B45" s="1" t="s">
        <v>247</v>
      </c>
      <c r="H45" s="187">
        <v>242202971</v>
      </c>
      <c r="I45" s="188"/>
      <c r="J45" s="187">
        <v>257150794</v>
      </c>
    </row>
    <row r="46" spans="1:11" x14ac:dyDescent="0.3">
      <c r="B46" s="1" t="s">
        <v>248</v>
      </c>
      <c r="H46" s="6">
        <v>257150794</v>
      </c>
      <c r="J46" s="6">
        <v>220079342</v>
      </c>
    </row>
    <row r="47" spans="1:11" x14ac:dyDescent="0.3">
      <c r="H47" s="6"/>
      <c r="J47" s="6"/>
    </row>
    <row r="48" spans="1:11" ht="14.5" thickBot="1" x14ac:dyDescent="0.35">
      <c r="A48" s="191" t="s">
        <v>250</v>
      </c>
      <c r="B48" s="95"/>
      <c r="C48" s="95"/>
      <c r="H48" s="194">
        <f>H40-H44</f>
        <v>-15384877</v>
      </c>
      <c r="I48" s="198"/>
      <c r="J48" s="194">
        <f>J40-J44</f>
        <v>-3942253</v>
      </c>
      <c r="K48" s="199"/>
    </row>
    <row r="49" spans="1:12" ht="14.5" thickTop="1" x14ac:dyDescent="0.3">
      <c r="A49" s="191"/>
      <c r="B49" s="95"/>
      <c r="C49" s="95"/>
      <c r="H49" s="200"/>
      <c r="I49" s="198"/>
      <c r="J49" s="200"/>
      <c r="K49" s="199"/>
    </row>
    <row r="50" spans="1:12" x14ac:dyDescent="0.3">
      <c r="H50" s="201">
        <f>H36-H48</f>
        <v>-0.10999999940395355</v>
      </c>
      <c r="J50" s="201">
        <f>J36-J48</f>
        <v>0</v>
      </c>
    </row>
    <row r="51" spans="1:12" ht="14.25" customHeight="1" x14ac:dyDescent="0.3">
      <c r="A51" s="222" t="s">
        <v>161</v>
      </c>
      <c r="B51" s="222"/>
      <c r="C51" s="222"/>
      <c r="D51" s="222"/>
      <c r="E51" s="222"/>
      <c r="F51" s="222"/>
      <c r="G51" s="222"/>
      <c r="H51" s="222"/>
      <c r="I51" s="222"/>
      <c r="J51" s="222"/>
      <c r="K51" s="143"/>
      <c r="L51" s="143"/>
    </row>
    <row r="55" spans="1:12" x14ac:dyDescent="0.3">
      <c r="H55" s="221">
        <f>H36-H48</f>
        <v>-0.10999999940395355</v>
      </c>
      <c r="J55" s="118">
        <f>J36-J48</f>
        <v>0</v>
      </c>
    </row>
  </sheetData>
  <mergeCells count="7">
    <mergeCell ref="A51:J51"/>
    <mergeCell ref="A38:K38"/>
    <mergeCell ref="A1:J1"/>
    <mergeCell ref="A2:J2"/>
    <mergeCell ref="A4:J4"/>
    <mergeCell ref="A5:J5"/>
    <mergeCell ref="H6:J6"/>
  </mergeCells>
  <pageMargins left="0.51181102362204722" right="0.51181102362204722" top="0.78740157480314965" bottom="0.78740157480314965" header="0.31496062992125984" footer="0.31496062992125984"/>
  <pageSetup paperSize="9" orientation="portrait" r:id="rId1"/>
  <headerFooter>
    <oddHeader>&amp;R&amp;12Pagina  936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4</vt:i4>
      </vt:variant>
    </vt:vector>
  </HeadingPairs>
  <TitlesOfParts>
    <vt:vector size="13" baseType="lpstr">
      <vt:lpstr>Ativo</vt:lpstr>
      <vt:lpstr>Passivo</vt:lpstr>
      <vt:lpstr>DRE</vt:lpstr>
      <vt:lpstr>DMPS</vt:lpstr>
      <vt:lpstr>DMPS Acertado</vt:lpstr>
      <vt:lpstr>DVA</vt:lpstr>
      <vt:lpstr>DFC.10</vt:lpstr>
      <vt:lpstr>DFC09 (2)</vt:lpstr>
      <vt:lpstr>DOAR</vt:lpstr>
      <vt:lpstr>Ativo!Area_de_impressao</vt:lpstr>
      <vt:lpstr>DFC.10!Area_de_impressao</vt:lpstr>
      <vt:lpstr>DOAR!Area_de_impressao</vt:lpstr>
      <vt:lpstr>Passivo!Area_de_impressao</vt:lpstr>
    </vt:vector>
  </TitlesOfParts>
  <Company>fundep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ainfo</dc:creator>
  <cp:lastModifiedBy>Alessandro Jorge</cp:lastModifiedBy>
  <cp:lastPrinted>2011-03-29T13:51:03Z</cp:lastPrinted>
  <dcterms:created xsi:type="dcterms:W3CDTF">2007-02-14T13:17:54Z</dcterms:created>
  <dcterms:modified xsi:type="dcterms:W3CDTF">2023-01-13T14:47:30Z</dcterms:modified>
</cp:coreProperties>
</file>